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360" yWindow="135" windowWidth="9315" windowHeight="7245" firstSheet="12" activeTab="14"/>
  </bookViews>
  <sheets>
    <sheet name="BD PAPELERIA" sheetId="4" r:id="rId1"/>
    <sheet name="PLANILLA VENTAS" sheetId="1" r:id="rId2"/>
    <sheet name="Factura" sheetId="3" r:id="rId3"/>
    <sheet name="Validación de Datos" sheetId="10" r:id="rId4"/>
    <sheet name="Filtro Sencillo" sheetId="9" r:id="rId5"/>
    <sheet name="Filtro Avanzado" sheetId="11" r:id="rId6"/>
    <sheet name="Subtotal" sheetId="13" r:id="rId7"/>
    <sheet name="Tabla" sheetId="14" r:id="rId8"/>
    <sheet name="Tabla Dinámica" sheetId="15" r:id="rId9"/>
    <sheet name="Segmentación" sheetId="18" r:id="rId10"/>
    <sheet name="Diseño" sheetId="5" r:id="rId11"/>
    <sheet name="Tablas 2" sheetId="19" r:id="rId12"/>
    <sheet name="Tablas dinámicas" sheetId="6" r:id="rId13"/>
    <sheet name="Dashboard" sheetId="7" r:id="rId14"/>
    <sheet name="Esquema Mental 1" sheetId="24" r:id="rId15"/>
    <sheet name="Esquema Mental 2 " sheetId="21" r:id="rId16"/>
    <sheet name="Esquema Mental 3 " sheetId="22" r:id="rId17"/>
    <sheet name="Esquema Mental 4" sheetId="23" r:id="rId18"/>
  </sheets>
  <externalReferences>
    <externalReference r:id="rId19"/>
  </externalReferences>
  <definedNames>
    <definedName name="_xlnm._FilterDatabase" localSheetId="5" hidden="1">'Filtro Avanzado'!$A$12:$R$50</definedName>
    <definedName name="_xlnm._FilterDatabase" localSheetId="4" hidden="1">'Filtro Sencillo'!$A$6:$R$44</definedName>
    <definedName name="_xlnm._FilterDatabase" localSheetId="1" hidden="1">'PLANILLA VENTAS'!$A$6:$R$44</definedName>
    <definedName name="_xlnm._FilterDatabase" localSheetId="6" hidden="1">Subtotal!$A$6:$R$54</definedName>
    <definedName name="_xlnm._FilterDatabase" localSheetId="7" hidden="1">Tabla!$A$6:$R$44</definedName>
    <definedName name="_xlnm._FilterDatabase" localSheetId="11" hidden="1">'Tablas 2'!$A$6:$R$44</definedName>
    <definedName name="_xlnm._FilterDatabase" localSheetId="3" hidden="1">'Validación de Datos'!$A$6:$R$44</definedName>
    <definedName name="bdpapeleria">'BD PAPELERIA'!$1:$1048576</definedName>
    <definedName name="_xlnm.Criteria" localSheetId="5">'Filtro Avanzado'!$F$7:$F$9</definedName>
    <definedName name="PAPELERIA_PAPEL_Y_LÁPIZ" localSheetId="5">'Filtro Avanzado'!$1:$1048576</definedName>
    <definedName name="PAPELERIA_PAPEL_Y_LÁPIZ" localSheetId="4">'Filtro Sencillo'!$1:$1048576</definedName>
    <definedName name="PAPELERIA_PAPEL_Y_LÁPIZ" localSheetId="6">Subtotal!$1:$1048576</definedName>
    <definedName name="PAPELERIA_PAPEL_Y_LÁPIZ" localSheetId="7">Tabla!$1:$1048576</definedName>
    <definedName name="PAPELERIA_PAPEL_Y_LÁPIZ" localSheetId="11">'Tablas 2'!$1:$1048576</definedName>
    <definedName name="PAPELERIA_PAPEL_Y_LÁPIZ" localSheetId="3">'Validación de Datos'!$1:$1048576</definedName>
    <definedName name="PAPELERIA_PAPEL_Y_LÁPIZ">'PLANILLA VENTAS'!$1:$1048576</definedName>
    <definedName name="SegmentaciónDeDatos_DEPARTAMENTO">#N/A</definedName>
    <definedName name="SegmentaciónDeDatos_DEPARTAMENTO1">#N/A</definedName>
    <definedName name="TablaVentas">[1]!Tabla1[#Data]</definedName>
  </definedNames>
  <calcPr calcId="144525"/>
  <pivotCaches>
    <pivotCache cacheId="0" r:id="rId20"/>
    <pivotCache cacheId="1" r:id="rId21"/>
  </pivotCaches>
  <extLst>
    <ext xmlns:x14="http://schemas.microsoft.com/office/spreadsheetml/2009/9/main" uri="{BBE1A952-AA13-448e-AADC-164F8A28A991}">
      <x14:slicerCaches>
        <x14:slicerCache r:id="rId22"/>
        <x14:slicerCache r:id="rId23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H7" i="1" l="1"/>
  <c r="I13" i="7" l="1"/>
  <c r="E13" i="7"/>
  <c r="I12" i="7"/>
  <c r="E12" i="7"/>
  <c r="I11" i="7"/>
  <c r="E11" i="7"/>
  <c r="I10" i="7"/>
  <c r="E10" i="7"/>
  <c r="I9" i="7"/>
  <c r="E9" i="7"/>
  <c r="C53" i="19"/>
  <c r="C52" i="19"/>
  <c r="C51" i="19"/>
  <c r="C50" i="19"/>
  <c r="C49" i="19"/>
  <c r="C48" i="19"/>
  <c r="B47" i="19"/>
  <c r="Q44" i="19"/>
  <c r="I44" i="19"/>
  <c r="Q43" i="19"/>
  <c r="I43" i="19"/>
  <c r="Q42" i="19"/>
  <c r="I42" i="19"/>
  <c r="Q41" i="19"/>
  <c r="I41" i="19"/>
  <c r="Q40" i="19"/>
  <c r="I40" i="19"/>
  <c r="Q39" i="19"/>
  <c r="I39" i="19"/>
  <c r="Q38" i="19"/>
  <c r="I38" i="19"/>
  <c r="Q37" i="19"/>
  <c r="I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B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B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B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B11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B10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B9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B7" i="19"/>
  <c r="C53" i="14"/>
  <c r="C52" i="14"/>
  <c r="C51" i="14"/>
  <c r="C50" i="14"/>
  <c r="C49" i="14"/>
  <c r="C48" i="14"/>
  <c r="B47" i="14"/>
  <c r="Q44" i="14"/>
  <c r="I44" i="14"/>
  <c r="Q43" i="14"/>
  <c r="I43" i="14"/>
  <c r="Q42" i="14"/>
  <c r="I42" i="14"/>
  <c r="Q41" i="14"/>
  <c r="I41" i="14"/>
  <c r="Q40" i="14"/>
  <c r="I40" i="14"/>
  <c r="Q39" i="14"/>
  <c r="I39" i="14"/>
  <c r="Q38" i="14"/>
  <c r="I38" i="14"/>
  <c r="Q37" i="14"/>
  <c r="I37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C64" i="13"/>
  <c r="C63" i="13"/>
  <c r="C62" i="13"/>
  <c r="C61" i="13"/>
  <c r="C60" i="13"/>
  <c r="C59" i="13"/>
  <c r="B58" i="13"/>
  <c r="P55" i="13"/>
  <c r="M55" i="13"/>
  <c r="Q54" i="13"/>
  <c r="I54" i="13"/>
  <c r="Q53" i="13"/>
  <c r="I53" i="13"/>
  <c r="Q52" i="13"/>
  <c r="I52" i="13"/>
  <c r="Q51" i="13"/>
  <c r="I51" i="13"/>
  <c r="Q50" i="13"/>
  <c r="I50" i="13"/>
  <c r="Q49" i="13"/>
  <c r="I49" i="13"/>
  <c r="Q48" i="13"/>
  <c r="I48" i="13"/>
  <c r="Q47" i="13"/>
  <c r="I47" i="13"/>
  <c r="P46" i="13"/>
  <c r="M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P33" i="13"/>
  <c r="M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P30" i="13"/>
  <c r="M30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P28" i="13"/>
  <c r="M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P24" i="13"/>
  <c r="M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P21" i="13"/>
  <c r="M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P19" i="13"/>
  <c r="M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P15" i="13"/>
  <c r="M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P11" i="13"/>
  <c r="M11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P8" i="13"/>
  <c r="M8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B53" i="11"/>
  <c r="Q50" i="11"/>
  <c r="I50" i="11"/>
  <c r="Q49" i="11"/>
  <c r="I49" i="11"/>
  <c r="Q48" i="11"/>
  <c r="I48" i="11"/>
  <c r="Q47" i="11"/>
  <c r="I47" i="11"/>
  <c r="Q46" i="11"/>
  <c r="I46" i="11"/>
  <c r="Q45" i="11"/>
  <c r="I45" i="11"/>
  <c r="Q44" i="11"/>
  <c r="I44" i="11"/>
  <c r="Q43" i="11"/>
  <c r="I43" i="11"/>
  <c r="Q42" i="11"/>
  <c r="J42" i="11"/>
  <c r="I42" i="11"/>
  <c r="R42" i="11" s="1"/>
  <c r="H42" i="11"/>
  <c r="G42" i="11"/>
  <c r="F42" i="11"/>
  <c r="E42" i="11"/>
  <c r="D42" i="11"/>
  <c r="C42" i="11"/>
  <c r="B42" i="11"/>
  <c r="Q41" i="11"/>
  <c r="J41" i="11"/>
  <c r="I41" i="11"/>
  <c r="R41" i="11" s="1"/>
  <c r="H41" i="11"/>
  <c r="K41" i="11" s="1"/>
  <c r="G41" i="11"/>
  <c r="F41" i="11"/>
  <c r="E41" i="11"/>
  <c r="D41" i="11"/>
  <c r="C41" i="11"/>
  <c r="B41" i="11"/>
  <c r="Q40" i="11"/>
  <c r="J40" i="11"/>
  <c r="I40" i="11"/>
  <c r="R40" i="11" s="1"/>
  <c r="H40" i="11"/>
  <c r="G40" i="11"/>
  <c r="F40" i="11"/>
  <c r="E40" i="11"/>
  <c r="D40" i="11"/>
  <c r="C40" i="11"/>
  <c r="B40" i="11"/>
  <c r="Q39" i="11"/>
  <c r="J39" i="11"/>
  <c r="I39" i="11"/>
  <c r="R39" i="11" s="1"/>
  <c r="H39" i="11"/>
  <c r="G39" i="11"/>
  <c r="F39" i="11"/>
  <c r="E39" i="11"/>
  <c r="D39" i="11"/>
  <c r="C39" i="11"/>
  <c r="B39" i="11"/>
  <c r="Q38" i="11"/>
  <c r="J38" i="11"/>
  <c r="I38" i="11"/>
  <c r="R38" i="11" s="1"/>
  <c r="H38" i="11"/>
  <c r="G38" i="11"/>
  <c r="F38" i="11"/>
  <c r="E38" i="11"/>
  <c r="D38" i="11"/>
  <c r="C38" i="11"/>
  <c r="B38" i="11"/>
  <c r="Q37" i="11"/>
  <c r="J37" i="11"/>
  <c r="I37" i="11"/>
  <c r="R37" i="11" s="1"/>
  <c r="H37" i="11"/>
  <c r="G37" i="11"/>
  <c r="F37" i="11"/>
  <c r="E37" i="11"/>
  <c r="D37" i="11"/>
  <c r="C37" i="11"/>
  <c r="B37" i="11"/>
  <c r="Q36" i="11"/>
  <c r="J36" i="11"/>
  <c r="I36" i="11"/>
  <c r="R36" i="11" s="1"/>
  <c r="H36" i="11"/>
  <c r="G36" i="11"/>
  <c r="F36" i="11"/>
  <c r="E36" i="11"/>
  <c r="D36" i="11"/>
  <c r="C36" i="11"/>
  <c r="B36" i="11"/>
  <c r="Q35" i="11"/>
  <c r="J35" i="11"/>
  <c r="I35" i="11"/>
  <c r="R35" i="11" s="1"/>
  <c r="H35" i="11"/>
  <c r="G35" i="11"/>
  <c r="F35" i="11"/>
  <c r="E35" i="11"/>
  <c r="D35" i="11"/>
  <c r="C35" i="11"/>
  <c r="B35" i="11"/>
  <c r="Q34" i="11"/>
  <c r="J34" i="11"/>
  <c r="I34" i="11"/>
  <c r="R34" i="11" s="1"/>
  <c r="H34" i="11"/>
  <c r="G34" i="11"/>
  <c r="F34" i="11"/>
  <c r="E34" i="11"/>
  <c r="D34" i="11"/>
  <c r="C34" i="11"/>
  <c r="B34" i="11"/>
  <c r="Q33" i="11"/>
  <c r="J33" i="11"/>
  <c r="I33" i="11"/>
  <c r="R33" i="11" s="1"/>
  <c r="H33" i="11"/>
  <c r="G33" i="11"/>
  <c r="F33" i="11"/>
  <c r="E33" i="11"/>
  <c r="D33" i="11"/>
  <c r="C33" i="11"/>
  <c r="B33" i="11"/>
  <c r="Q32" i="11"/>
  <c r="J32" i="11"/>
  <c r="I32" i="11"/>
  <c r="R32" i="11" s="1"/>
  <c r="H32" i="11"/>
  <c r="G32" i="11"/>
  <c r="F32" i="11"/>
  <c r="E32" i="11"/>
  <c r="D32" i="11"/>
  <c r="C32" i="11"/>
  <c r="B32" i="11"/>
  <c r="Q31" i="11"/>
  <c r="J31" i="11"/>
  <c r="I31" i="11"/>
  <c r="R31" i="11" s="1"/>
  <c r="H31" i="11"/>
  <c r="G31" i="11"/>
  <c r="F31" i="11"/>
  <c r="E31" i="11"/>
  <c r="D31" i="11"/>
  <c r="C31" i="11"/>
  <c r="B31" i="11"/>
  <c r="Q30" i="11"/>
  <c r="J30" i="11"/>
  <c r="I30" i="11"/>
  <c r="R30" i="11" s="1"/>
  <c r="H30" i="11"/>
  <c r="G30" i="11"/>
  <c r="F30" i="11"/>
  <c r="E30" i="11"/>
  <c r="D30" i="11"/>
  <c r="C30" i="11"/>
  <c r="B30" i="11"/>
  <c r="Q29" i="11"/>
  <c r="J29" i="11"/>
  <c r="I29" i="11"/>
  <c r="R29" i="11" s="1"/>
  <c r="H29" i="11"/>
  <c r="G29" i="11"/>
  <c r="F29" i="11"/>
  <c r="E29" i="11"/>
  <c r="D29" i="11"/>
  <c r="C29" i="11"/>
  <c r="B29" i="11"/>
  <c r="Q28" i="11"/>
  <c r="J28" i="11"/>
  <c r="I28" i="11"/>
  <c r="R28" i="11" s="1"/>
  <c r="H28" i="11"/>
  <c r="G28" i="11"/>
  <c r="F28" i="11"/>
  <c r="E28" i="11"/>
  <c r="D28" i="11"/>
  <c r="C28" i="11"/>
  <c r="B28" i="11"/>
  <c r="Q27" i="11"/>
  <c r="J27" i="11"/>
  <c r="I27" i="11"/>
  <c r="R27" i="11" s="1"/>
  <c r="H27" i="11"/>
  <c r="G27" i="11"/>
  <c r="F27" i="11"/>
  <c r="E27" i="11"/>
  <c r="D27" i="11"/>
  <c r="C27" i="11"/>
  <c r="B27" i="11"/>
  <c r="Q26" i="11"/>
  <c r="J26" i="11"/>
  <c r="I26" i="11"/>
  <c r="R26" i="11" s="1"/>
  <c r="H26" i="11"/>
  <c r="G26" i="11"/>
  <c r="F26" i="11"/>
  <c r="E26" i="11"/>
  <c r="D26" i="11"/>
  <c r="C26" i="11"/>
  <c r="B26" i="11"/>
  <c r="Q25" i="11"/>
  <c r="J25" i="11"/>
  <c r="I25" i="11"/>
  <c r="R25" i="11" s="1"/>
  <c r="H25" i="11"/>
  <c r="G25" i="11"/>
  <c r="F25" i="11"/>
  <c r="E25" i="11"/>
  <c r="D25" i="11"/>
  <c r="C25" i="11"/>
  <c r="B25" i="11"/>
  <c r="Q24" i="11"/>
  <c r="J24" i="11"/>
  <c r="I24" i="11"/>
  <c r="R24" i="11" s="1"/>
  <c r="H24" i="11"/>
  <c r="G24" i="11"/>
  <c r="F24" i="11"/>
  <c r="E24" i="11"/>
  <c r="D24" i="11"/>
  <c r="C24" i="11"/>
  <c r="B24" i="11"/>
  <c r="Q23" i="11"/>
  <c r="J23" i="11"/>
  <c r="I23" i="11"/>
  <c r="R23" i="11" s="1"/>
  <c r="H23" i="11"/>
  <c r="G23" i="11"/>
  <c r="F23" i="11"/>
  <c r="E23" i="11"/>
  <c r="D23" i="11"/>
  <c r="C23" i="11"/>
  <c r="B23" i="11"/>
  <c r="Q22" i="11"/>
  <c r="J22" i="11"/>
  <c r="I22" i="11"/>
  <c r="R22" i="11" s="1"/>
  <c r="H22" i="11"/>
  <c r="G22" i="11"/>
  <c r="F22" i="11"/>
  <c r="E22" i="11"/>
  <c r="D22" i="11"/>
  <c r="C22" i="11"/>
  <c r="B22" i="11"/>
  <c r="Q21" i="11"/>
  <c r="J21" i="11"/>
  <c r="I21" i="11"/>
  <c r="R21" i="11" s="1"/>
  <c r="H21" i="11"/>
  <c r="G21" i="11"/>
  <c r="F21" i="11"/>
  <c r="E21" i="11"/>
  <c r="D21" i="11"/>
  <c r="C21" i="11"/>
  <c r="B21" i="11"/>
  <c r="Q20" i="11"/>
  <c r="J20" i="11"/>
  <c r="I20" i="11"/>
  <c r="R20" i="11" s="1"/>
  <c r="H20" i="11"/>
  <c r="G20" i="11"/>
  <c r="F20" i="11"/>
  <c r="E20" i="11"/>
  <c r="D20" i="11"/>
  <c r="C20" i="11"/>
  <c r="B20" i="11"/>
  <c r="Q19" i="11"/>
  <c r="J19" i="11"/>
  <c r="I19" i="11"/>
  <c r="R19" i="11" s="1"/>
  <c r="H19" i="11"/>
  <c r="G19" i="11"/>
  <c r="F19" i="11"/>
  <c r="E19" i="11"/>
  <c r="D19" i="11"/>
  <c r="C19" i="11"/>
  <c r="B19" i="11"/>
  <c r="Q18" i="11"/>
  <c r="J18" i="11"/>
  <c r="I18" i="11"/>
  <c r="R18" i="11" s="1"/>
  <c r="H18" i="11"/>
  <c r="G18" i="11"/>
  <c r="F18" i="11"/>
  <c r="E18" i="11"/>
  <c r="D18" i="11"/>
  <c r="C18" i="11"/>
  <c r="B18" i="11"/>
  <c r="Q17" i="11"/>
  <c r="J17" i="11"/>
  <c r="I17" i="11"/>
  <c r="R17" i="11" s="1"/>
  <c r="H17" i="11"/>
  <c r="G17" i="11"/>
  <c r="F17" i="11"/>
  <c r="E17" i="11"/>
  <c r="D17" i="11"/>
  <c r="C17" i="11"/>
  <c r="B17" i="11"/>
  <c r="Q16" i="11"/>
  <c r="J16" i="11"/>
  <c r="I16" i="11"/>
  <c r="R16" i="11" s="1"/>
  <c r="H16" i="11"/>
  <c r="G16" i="11"/>
  <c r="F16" i="11"/>
  <c r="E16" i="11"/>
  <c r="D16" i="11"/>
  <c r="C16" i="11"/>
  <c r="B16" i="11"/>
  <c r="Q15" i="11"/>
  <c r="J15" i="11"/>
  <c r="I15" i="11"/>
  <c r="R15" i="11" s="1"/>
  <c r="H15" i="11"/>
  <c r="G15" i="11"/>
  <c r="F15" i="11"/>
  <c r="E15" i="11"/>
  <c r="D15" i="11"/>
  <c r="C15" i="11"/>
  <c r="B15" i="11"/>
  <c r="Q14" i="11"/>
  <c r="J14" i="11"/>
  <c r="I14" i="11"/>
  <c r="R14" i="11" s="1"/>
  <c r="H14" i="11"/>
  <c r="G14" i="11"/>
  <c r="F14" i="11"/>
  <c r="E14" i="11"/>
  <c r="D14" i="11"/>
  <c r="C14" i="11"/>
  <c r="B14" i="11"/>
  <c r="Q13" i="11"/>
  <c r="J13" i="11"/>
  <c r="I13" i="11"/>
  <c r="R13" i="11" s="1"/>
  <c r="H13" i="11"/>
  <c r="G13" i="11"/>
  <c r="F13" i="11"/>
  <c r="E13" i="11"/>
  <c r="D13" i="11"/>
  <c r="C13" i="11"/>
  <c r="B13" i="11"/>
  <c r="C53" i="9"/>
  <c r="C52" i="9"/>
  <c r="C51" i="9"/>
  <c r="C50" i="9"/>
  <c r="C49" i="9"/>
  <c r="C48" i="9"/>
  <c r="B47" i="9"/>
  <c r="Q44" i="9"/>
  <c r="I44" i="9"/>
  <c r="Q43" i="9"/>
  <c r="I43" i="9"/>
  <c r="Q42" i="9"/>
  <c r="I42" i="9"/>
  <c r="Q41" i="9"/>
  <c r="I41" i="9"/>
  <c r="Q40" i="9"/>
  <c r="I40" i="9"/>
  <c r="Q39" i="9"/>
  <c r="I39" i="9"/>
  <c r="Q38" i="9"/>
  <c r="I38" i="9"/>
  <c r="Q37" i="9"/>
  <c r="I37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C53" i="10"/>
  <c r="C52" i="10"/>
  <c r="C51" i="10"/>
  <c r="C50" i="10"/>
  <c r="C49" i="10"/>
  <c r="C48" i="10"/>
  <c r="B47" i="10"/>
  <c r="Q44" i="10"/>
  <c r="I44" i="10"/>
  <c r="Q43" i="10"/>
  <c r="I43" i="10"/>
  <c r="Q42" i="10"/>
  <c r="I42" i="10"/>
  <c r="Q41" i="10"/>
  <c r="I41" i="10"/>
  <c r="Q40" i="10"/>
  <c r="I40" i="10"/>
  <c r="Q39" i="10"/>
  <c r="I39" i="10"/>
  <c r="Q38" i="10"/>
  <c r="I38" i="10"/>
  <c r="Q37" i="10"/>
  <c r="I37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AB288" i="3"/>
  <c r="Q288" i="3"/>
  <c r="F288" i="3"/>
  <c r="AB286" i="3"/>
  <c r="Q286" i="3"/>
  <c r="F286" i="3"/>
  <c r="AD269" i="3"/>
  <c r="AB269" i="3"/>
  <c r="X269" i="3"/>
  <c r="W269" i="3"/>
  <c r="S269" i="3"/>
  <c r="Q269" i="3"/>
  <c r="M269" i="3"/>
  <c r="L269" i="3"/>
  <c r="H269" i="3"/>
  <c r="F269" i="3"/>
  <c r="B269" i="3"/>
  <c r="A269" i="3"/>
  <c r="AB267" i="3"/>
  <c r="X267" i="3"/>
  <c r="Q267" i="3"/>
  <c r="M267" i="3"/>
  <c r="F267" i="3"/>
  <c r="B267" i="3"/>
  <c r="AA266" i="3"/>
  <c r="X266" i="3"/>
  <c r="P266" i="3"/>
  <c r="M266" i="3"/>
  <c r="E266" i="3"/>
  <c r="B266" i="3"/>
  <c r="X264" i="3"/>
  <c r="M264" i="3"/>
  <c r="B264" i="3"/>
  <c r="AB259" i="3"/>
  <c r="Q259" i="3"/>
  <c r="F259" i="3"/>
  <c r="AB257" i="3"/>
  <c r="Q257" i="3"/>
  <c r="F257" i="3"/>
  <c r="AD240" i="3"/>
  <c r="AB240" i="3"/>
  <c r="X240" i="3"/>
  <c r="W240" i="3"/>
  <c r="S240" i="3"/>
  <c r="Q240" i="3"/>
  <c r="M240" i="3"/>
  <c r="L240" i="3"/>
  <c r="H240" i="3"/>
  <c r="F240" i="3"/>
  <c r="B240" i="3"/>
  <c r="A240" i="3"/>
  <c r="AB238" i="3"/>
  <c r="X238" i="3"/>
  <c r="Q238" i="3"/>
  <c r="M238" i="3"/>
  <c r="F238" i="3"/>
  <c r="B238" i="3"/>
  <c r="AA237" i="3"/>
  <c r="X237" i="3"/>
  <c r="P237" i="3"/>
  <c r="M237" i="3"/>
  <c r="E237" i="3"/>
  <c r="B237" i="3"/>
  <c r="X235" i="3"/>
  <c r="M235" i="3"/>
  <c r="B235" i="3"/>
  <c r="AB230" i="3"/>
  <c r="Q230" i="3"/>
  <c r="F230" i="3"/>
  <c r="AB228" i="3"/>
  <c r="Q228" i="3"/>
  <c r="F228" i="3"/>
  <c r="AD211" i="3"/>
  <c r="AB211" i="3"/>
  <c r="X211" i="3"/>
  <c r="W211" i="3"/>
  <c r="S211" i="3"/>
  <c r="Q211" i="3"/>
  <c r="M211" i="3"/>
  <c r="L211" i="3"/>
  <c r="H211" i="3"/>
  <c r="F211" i="3"/>
  <c r="B211" i="3"/>
  <c r="A211" i="3"/>
  <c r="AB209" i="3"/>
  <c r="X209" i="3"/>
  <c r="Q209" i="3"/>
  <c r="M209" i="3"/>
  <c r="F209" i="3"/>
  <c r="B209" i="3"/>
  <c r="AA208" i="3"/>
  <c r="X208" i="3"/>
  <c r="P208" i="3"/>
  <c r="M208" i="3"/>
  <c r="E208" i="3"/>
  <c r="B208" i="3"/>
  <c r="X206" i="3"/>
  <c r="M206" i="3"/>
  <c r="B206" i="3"/>
  <c r="AB201" i="3"/>
  <c r="Q201" i="3"/>
  <c r="F201" i="3"/>
  <c r="AB199" i="3"/>
  <c r="Q199" i="3"/>
  <c r="F199" i="3"/>
  <c r="AD182" i="3"/>
  <c r="AB182" i="3"/>
  <c r="X182" i="3"/>
  <c r="W182" i="3"/>
  <c r="S182" i="3"/>
  <c r="Q182" i="3"/>
  <c r="M182" i="3"/>
  <c r="L182" i="3"/>
  <c r="H182" i="3"/>
  <c r="F182" i="3"/>
  <c r="B182" i="3"/>
  <c r="A182" i="3"/>
  <c r="AB180" i="3"/>
  <c r="X180" i="3"/>
  <c r="Q180" i="3"/>
  <c r="M180" i="3"/>
  <c r="F180" i="3"/>
  <c r="B180" i="3"/>
  <c r="AA179" i="3"/>
  <c r="X179" i="3"/>
  <c r="P179" i="3"/>
  <c r="M179" i="3"/>
  <c r="E179" i="3"/>
  <c r="B179" i="3"/>
  <c r="X177" i="3"/>
  <c r="M177" i="3"/>
  <c r="B177" i="3"/>
  <c r="AB172" i="3"/>
  <c r="Q172" i="3"/>
  <c r="F172" i="3"/>
  <c r="AB170" i="3"/>
  <c r="Q170" i="3"/>
  <c r="F170" i="3"/>
  <c r="AD153" i="3"/>
  <c r="AB153" i="3"/>
  <c r="X153" i="3"/>
  <c r="W153" i="3"/>
  <c r="S153" i="3"/>
  <c r="Q153" i="3"/>
  <c r="M153" i="3"/>
  <c r="L153" i="3"/>
  <c r="H153" i="3"/>
  <c r="F153" i="3"/>
  <c r="B153" i="3"/>
  <c r="A153" i="3"/>
  <c r="AB151" i="3"/>
  <c r="X151" i="3"/>
  <c r="Q151" i="3"/>
  <c r="M151" i="3"/>
  <c r="F151" i="3"/>
  <c r="B151" i="3"/>
  <c r="AA150" i="3"/>
  <c r="X150" i="3"/>
  <c r="P150" i="3"/>
  <c r="M150" i="3"/>
  <c r="E150" i="3"/>
  <c r="B150" i="3"/>
  <c r="X148" i="3"/>
  <c r="M148" i="3"/>
  <c r="B148" i="3"/>
  <c r="AB143" i="3"/>
  <c r="Q143" i="3"/>
  <c r="F143" i="3"/>
  <c r="AB141" i="3"/>
  <c r="Q141" i="3"/>
  <c r="F141" i="3"/>
  <c r="AD124" i="3"/>
  <c r="AB124" i="3"/>
  <c r="X124" i="3"/>
  <c r="W124" i="3"/>
  <c r="S124" i="3"/>
  <c r="Q124" i="3"/>
  <c r="M124" i="3"/>
  <c r="L124" i="3"/>
  <c r="H124" i="3"/>
  <c r="F124" i="3"/>
  <c r="B124" i="3"/>
  <c r="A124" i="3"/>
  <c r="AB122" i="3"/>
  <c r="X122" i="3"/>
  <c r="Q122" i="3"/>
  <c r="M122" i="3"/>
  <c r="F122" i="3"/>
  <c r="B122" i="3"/>
  <c r="AA121" i="3"/>
  <c r="X121" i="3"/>
  <c r="P121" i="3"/>
  <c r="M121" i="3"/>
  <c r="E121" i="3"/>
  <c r="B121" i="3"/>
  <c r="X119" i="3"/>
  <c r="M119" i="3"/>
  <c r="B119" i="3"/>
  <c r="AB114" i="3"/>
  <c r="Q114" i="3"/>
  <c r="F114" i="3"/>
  <c r="AB112" i="3"/>
  <c r="Q112" i="3"/>
  <c r="F112" i="3"/>
  <c r="AD95" i="3"/>
  <c r="AB95" i="3"/>
  <c r="X95" i="3"/>
  <c r="W95" i="3"/>
  <c r="S95" i="3"/>
  <c r="Q95" i="3"/>
  <c r="M95" i="3"/>
  <c r="L95" i="3"/>
  <c r="H95" i="3"/>
  <c r="F95" i="3"/>
  <c r="B95" i="3"/>
  <c r="A95" i="3"/>
  <c r="AB93" i="3"/>
  <c r="X93" i="3"/>
  <c r="Q93" i="3"/>
  <c r="M93" i="3"/>
  <c r="F93" i="3"/>
  <c r="B93" i="3"/>
  <c r="AA92" i="3"/>
  <c r="X92" i="3"/>
  <c r="P92" i="3"/>
  <c r="M92" i="3"/>
  <c r="E92" i="3"/>
  <c r="B92" i="3"/>
  <c r="X90" i="3"/>
  <c r="M90" i="3"/>
  <c r="B90" i="3"/>
  <c r="AB85" i="3"/>
  <c r="Q85" i="3"/>
  <c r="F85" i="3"/>
  <c r="AB83" i="3"/>
  <c r="Q83" i="3"/>
  <c r="F83" i="3"/>
  <c r="AD66" i="3"/>
  <c r="AB66" i="3"/>
  <c r="X66" i="3"/>
  <c r="W66" i="3"/>
  <c r="S66" i="3"/>
  <c r="Q66" i="3"/>
  <c r="M66" i="3"/>
  <c r="L66" i="3"/>
  <c r="H66" i="3"/>
  <c r="F66" i="3"/>
  <c r="B66" i="3"/>
  <c r="A66" i="3"/>
  <c r="AB64" i="3"/>
  <c r="X64" i="3"/>
  <c r="Q64" i="3"/>
  <c r="M64" i="3"/>
  <c r="F64" i="3"/>
  <c r="B64" i="3"/>
  <c r="AA63" i="3"/>
  <c r="X63" i="3"/>
  <c r="P63" i="3"/>
  <c r="M63" i="3"/>
  <c r="E63" i="3"/>
  <c r="B63" i="3"/>
  <c r="X61" i="3"/>
  <c r="M61" i="3"/>
  <c r="B61" i="3"/>
  <c r="AB56" i="3"/>
  <c r="Q56" i="3"/>
  <c r="F56" i="3"/>
  <c r="AB54" i="3"/>
  <c r="Q54" i="3"/>
  <c r="F54" i="3"/>
  <c r="AD37" i="3"/>
  <c r="AB37" i="3"/>
  <c r="X37" i="3"/>
  <c r="W37" i="3"/>
  <c r="S37" i="3"/>
  <c r="Q37" i="3"/>
  <c r="M37" i="3"/>
  <c r="L37" i="3"/>
  <c r="H37" i="3"/>
  <c r="F37" i="3"/>
  <c r="B37" i="3"/>
  <c r="A37" i="3"/>
  <c r="AB35" i="3"/>
  <c r="X35" i="3"/>
  <c r="Q35" i="3"/>
  <c r="M35" i="3"/>
  <c r="F35" i="3"/>
  <c r="B35" i="3"/>
  <c r="AA34" i="3"/>
  <c r="X34" i="3"/>
  <c r="P34" i="3"/>
  <c r="M34" i="3"/>
  <c r="E34" i="3"/>
  <c r="B34" i="3"/>
  <c r="X32" i="3"/>
  <c r="M32" i="3"/>
  <c r="B32" i="3"/>
  <c r="AB27" i="3"/>
  <c r="Q27" i="3"/>
  <c r="AB25" i="3"/>
  <c r="Q25" i="3"/>
  <c r="AD8" i="3"/>
  <c r="AB8" i="3"/>
  <c r="X8" i="3"/>
  <c r="W8" i="3"/>
  <c r="S8" i="3"/>
  <c r="Q8" i="3"/>
  <c r="M8" i="3"/>
  <c r="L8" i="3"/>
  <c r="F8" i="3"/>
  <c r="B8" i="3"/>
  <c r="A8" i="3"/>
  <c r="AB6" i="3"/>
  <c r="X6" i="3"/>
  <c r="Q6" i="3"/>
  <c r="M6" i="3"/>
  <c r="F6" i="3"/>
  <c r="B6" i="3"/>
  <c r="AA5" i="3"/>
  <c r="X5" i="3"/>
  <c r="P5" i="3"/>
  <c r="M5" i="3"/>
  <c r="E5" i="3"/>
  <c r="B5" i="3"/>
  <c r="X3" i="3"/>
  <c r="M3" i="3"/>
  <c r="B3" i="3"/>
  <c r="C48" i="1"/>
  <c r="B47" i="1"/>
  <c r="Q44" i="1"/>
  <c r="I44" i="1"/>
  <c r="Q43" i="1"/>
  <c r="I43" i="1"/>
  <c r="Q42" i="1"/>
  <c r="I42" i="1"/>
  <c r="Q41" i="1"/>
  <c r="I41" i="1"/>
  <c r="Q40" i="1"/>
  <c r="I40" i="1"/>
  <c r="Q39" i="1"/>
  <c r="I39" i="1"/>
  <c r="Q38" i="1"/>
  <c r="I38" i="1"/>
  <c r="Q37" i="1"/>
  <c r="I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R7" i="1"/>
  <c r="Q7" i="1"/>
  <c r="L7" i="1"/>
  <c r="K7" i="1"/>
  <c r="H8" i="3" s="1"/>
  <c r="J7" i="1"/>
  <c r="I7" i="1"/>
  <c r="G7" i="1"/>
  <c r="F7" i="1"/>
  <c r="E7" i="1"/>
  <c r="D7" i="1"/>
  <c r="C7" i="1"/>
  <c r="B7" i="1"/>
  <c r="B8" i="7"/>
  <c r="F12" i="7"/>
  <c r="F10" i="7"/>
  <c r="F13" i="7"/>
  <c r="F11" i="7"/>
  <c r="F9" i="7"/>
  <c r="J13" i="7"/>
  <c r="J12" i="7"/>
  <c r="J11" i="7"/>
  <c r="J10" i="7"/>
  <c r="J9" i="7"/>
  <c r="M7" i="1" l="1"/>
  <c r="K20" i="11"/>
  <c r="L20" i="11" s="1"/>
  <c r="M20" i="11" s="1"/>
  <c r="K22" i="11"/>
  <c r="K24" i="11"/>
  <c r="L24" i="11" s="1"/>
  <c r="M24" i="11" s="1"/>
  <c r="K26" i="11"/>
  <c r="K14" i="11"/>
  <c r="K16" i="11"/>
  <c r="K18" i="11"/>
  <c r="C54" i="11"/>
  <c r="K13" i="11"/>
  <c r="K15" i="11"/>
  <c r="L15" i="11" s="1"/>
  <c r="M15" i="11" s="1"/>
  <c r="K17" i="11"/>
  <c r="L17" i="11" s="1"/>
  <c r="M17" i="11" s="1"/>
  <c r="K19" i="11"/>
  <c r="L19" i="11" s="1"/>
  <c r="M19" i="11" s="1"/>
  <c r="L22" i="11"/>
  <c r="M22" i="11" s="1"/>
  <c r="K27" i="11"/>
  <c r="L27" i="11" s="1"/>
  <c r="M27" i="11" s="1"/>
  <c r="K29" i="11"/>
  <c r="L29" i="11" s="1"/>
  <c r="M29" i="11" s="1"/>
  <c r="K31" i="11"/>
  <c r="L31" i="11" s="1"/>
  <c r="M31" i="11" s="1"/>
  <c r="K33" i="11"/>
  <c r="L33" i="11" s="1"/>
  <c r="M33" i="11" s="1"/>
  <c r="K35" i="11"/>
  <c r="L35" i="11" s="1"/>
  <c r="M35" i="11" s="1"/>
  <c r="K37" i="11"/>
  <c r="L37" i="11" s="1"/>
  <c r="M37" i="11" s="1"/>
  <c r="K39" i="11"/>
  <c r="L39" i="11" s="1"/>
  <c r="M39" i="11" s="1"/>
  <c r="K40" i="11"/>
  <c r="L40" i="11" s="1"/>
  <c r="M40" i="11" s="1"/>
  <c r="L14" i="11"/>
  <c r="M14" i="11" s="1"/>
  <c r="L16" i="11"/>
  <c r="M16" i="11" s="1"/>
  <c r="L18" i="11"/>
  <c r="K21" i="11"/>
  <c r="L21" i="11" s="1"/>
  <c r="M21" i="11" s="1"/>
  <c r="K23" i="11"/>
  <c r="L23" i="11" s="1"/>
  <c r="M23" i="11" s="1"/>
  <c r="K25" i="11"/>
  <c r="L25" i="11" s="1"/>
  <c r="M25" i="11" s="1"/>
  <c r="L26" i="11"/>
  <c r="M26" i="11" s="1"/>
  <c r="M18" i="11"/>
  <c r="L13" i="11"/>
  <c r="M13" i="11" s="1"/>
  <c r="K28" i="11"/>
  <c r="K30" i="11"/>
  <c r="L30" i="11" s="1"/>
  <c r="K32" i="11"/>
  <c r="K34" i="11"/>
  <c r="L34" i="11" s="1"/>
  <c r="K36" i="11"/>
  <c r="K38" i="11"/>
  <c r="L38" i="11" s="1"/>
  <c r="L41" i="11"/>
  <c r="M41" i="11" s="1"/>
  <c r="K42" i="11"/>
  <c r="L42" i="11" s="1"/>
  <c r="K9" i="7"/>
  <c r="G9" i="7"/>
  <c r="K11" i="7"/>
  <c r="G11" i="7"/>
  <c r="K13" i="7"/>
  <c r="G13" i="7"/>
  <c r="K10" i="7"/>
  <c r="G10" i="7"/>
  <c r="K12" i="7"/>
  <c r="G12" i="7"/>
  <c r="F25" i="3" l="1"/>
  <c r="C49" i="1"/>
  <c r="N7" i="1"/>
  <c r="O7" i="1"/>
  <c r="P7" i="1"/>
  <c r="O20" i="11"/>
  <c r="N20" i="11"/>
  <c r="P20" i="11" s="1"/>
  <c r="O14" i="11"/>
  <c r="N14" i="11"/>
  <c r="O26" i="11"/>
  <c r="N26" i="11"/>
  <c r="O13" i="11"/>
  <c r="N13" i="11"/>
  <c r="P13" i="11" s="1"/>
  <c r="O41" i="11"/>
  <c r="N41" i="11"/>
  <c r="N24" i="11"/>
  <c r="O24" i="11"/>
  <c r="N22" i="11"/>
  <c r="O22" i="11"/>
  <c r="N40" i="11"/>
  <c r="O40" i="11"/>
  <c r="L36" i="11"/>
  <c r="M36" i="11" s="1"/>
  <c r="L32" i="11"/>
  <c r="M32" i="11" s="1"/>
  <c r="L28" i="11"/>
  <c r="M28" i="11" s="1"/>
  <c r="N18" i="11"/>
  <c r="O18" i="11"/>
  <c r="N16" i="11"/>
  <c r="O16" i="11"/>
  <c r="M42" i="11"/>
  <c r="M38" i="11"/>
  <c r="M34" i="11"/>
  <c r="M30" i="11"/>
  <c r="O25" i="11"/>
  <c r="N25" i="11"/>
  <c r="P25" i="11" s="1"/>
  <c r="O23" i="11"/>
  <c r="N23" i="11"/>
  <c r="P23" i="11" s="1"/>
  <c r="O21" i="11"/>
  <c r="N21" i="11"/>
  <c r="O39" i="11"/>
  <c r="N39" i="11"/>
  <c r="O37" i="11"/>
  <c r="N37" i="11"/>
  <c r="O35" i="11"/>
  <c r="N35" i="11"/>
  <c r="O33" i="11"/>
  <c r="N33" i="11"/>
  <c r="O31" i="11"/>
  <c r="N31" i="11"/>
  <c r="O29" i="11"/>
  <c r="N29" i="11"/>
  <c r="O27" i="11"/>
  <c r="N27" i="11"/>
  <c r="O19" i="11"/>
  <c r="N19" i="11"/>
  <c r="O17" i="11"/>
  <c r="N17" i="11"/>
  <c r="O15" i="11"/>
  <c r="N15" i="11"/>
  <c r="C53" i="1" l="1"/>
  <c r="C51" i="1"/>
  <c r="F27" i="3"/>
  <c r="C52" i="1"/>
  <c r="C50" i="1"/>
  <c r="P18" i="11"/>
  <c r="P22" i="11"/>
  <c r="P26" i="11"/>
  <c r="P14" i="11"/>
  <c r="P27" i="11"/>
  <c r="P29" i="11"/>
  <c r="P31" i="11"/>
  <c r="P35" i="11"/>
  <c r="P15" i="11"/>
  <c r="P17" i="11"/>
  <c r="P37" i="11"/>
  <c r="P39" i="11"/>
  <c r="P19" i="11"/>
  <c r="P33" i="11"/>
  <c r="P21" i="11"/>
  <c r="P16" i="11"/>
  <c r="P40" i="11"/>
  <c r="P24" i="11"/>
  <c r="P41" i="11"/>
  <c r="N32" i="11"/>
  <c r="O32" i="11"/>
  <c r="N28" i="11"/>
  <c r="O28" i="11"/>
  <c r="C55" i="11"/>
  <c r="N36" i="11"/>
  <c r="O36" i="11"/>
  <c r="N42" i="11"/>
  <c r="O42" i="11"/>
  <c r="N30" i="11"/>
  <c r="O30" i="11"/>
  <c r="N38" i="11"/>
  <c r="O38" i="11"/>
  <c r="N34" i="11"/>
  <c r="O34" i="11"/>
  <c r="P32" i="11" l="1"/>
  <c r="P38" i="11"/>
  <c r="P42" i="11"/>
  <c r="P28" i="11"/>
  <c r="P34" i="11"/>
  <c r="C58" i="11" s="1"/>
  <c r="P30" i="11"/>
  <c r="P36" i="11"/>
  <c r="C56" i="11" l="1"/>
  <c r="C57" i="11"/>
  <c r="C59" i="11"/>
</calcChain>
</file>

<file path=xl/sharedStrings.xml><?xml version="1.0" encoding="utf-8"?>
<sst xmlns="http://schemas.openxmlformats.org/spreadsheetml/2006/main" count="1034" uniqueCount="192">
  <si>
    <t>PAPELERIA PAPEL Y LÁPIZ</t>
  </si>
  <si>
    <t>PLANILLA DE VENTAS</t>
  </si>
  <si>
    <t>FACTURA</t>
  </si>
  <si>
    <t>CLIENTE</t>
  </si>
  <si>
    <t>PRODUCTO</t>
  </si>
  <si>
    <t>CANTIDAD</t>
  </si>
  <si>
    <t>V/ UNITARIO</t>
  </si>
  <si>
    <t xml:space="preserve">VALOR BRUTO </t>
  </si>
  <si>
    <t>DESCUENTO</t>
  </si>
  <si>
    <t>SUBTOTAL</t>
  </si>
  <si>
    <t>IVA</t>
  </si>
  <si>
    <t>R/FUENTE</t>
  </si>
  <si>
    <t>TOTAL A PAGAR</t>
  </si>
  <si>
    <t xml:space="preserve">CAJA DE RESMAS TAMAÑO CARTA X 15 </t>
  </si>
  <si>
    <t>VINILOS PRISMACOLOR</t>
  </si>
  <si>
    <t>LIBRO CONTABLE</t>
  </si>
  <si>
    <t>ROLLOS PARA IMPRESORA DE CAJA X 6 U.</t>
  </si>
  <si>
    <t>CORPORACION ARTES Y OFICIOS</t>
  </si>
  <si>
    <t>CASA DE LA CULTURA PEDRITO RUIZ</t>
  </si>
  <si>
    <t>GRAPADORA MEDIANA</t>
  </si>
  <si>
    <t>CAJA LAPIZ MIRADO No. 2   X12 U</t>
  </si>
  <si>
    <t>CAJA DE LAPICEROS KILOMETRICO X 12 U</t>
  </si>
  <si>
    <t>DEPARTAMENTO</t>
  </si>
  <si>
    <t>Antioquia</t>
  </si>
  <si>
    <t>Risaralda</t>
  </si>
  <si>
    <t>Bolivar</t>
  </si>
  <si>
    <t>Tolima</t>
  </si>
  <si>
    <t>Cundinamarca</t>
  </si>
  <si>
    <t>Valle del Cauca</t>
  </si>
  <si>
    <t>Santander</t>
  </si>
  <si>
    <t>Nariño</t>
  </si>
  <si>
    <t>Atlántico</t>
  </si>
  <si>
    <t>Sucre</t>
  </si>
  <si>
    <t xml:space="preserve">CAJA DE RESMAS TAMAÑO OFICIO </t>
  </si>
  <si>
    <t xml:space="preserve">TALONARIO DE CAJA MENOR </t>
  </si>
  <si>
    <t>CUADERNO ARGOLLADO</t>
  </si>
  <si>
    <t>CARPETAS PARA ARCHIVO TAMAÑO OFICIO</t>
  </si>
  <si>
    <t>CAJA DE COLORES NORMA</t>
  </si>
  <si>
    <t>BLOCK TAMAÑO CARTA</t>
  </si>
  <si>
    <t>GRAPADORA PEQUEÑA</t>
  </si>
  <si>
    <t>CARPETAS PARA ARCHIVO TAMAÑO CARTA</t>
  </si>
  <si>
    <t xml:space="preserve">MORRAL </t>
  </si>
  <si>
    <t xml:space="preserve">CRAYOLAS </t>
  </si>
  <si>
    <t>COLEGIO MAYOR DE ANTIOQUIA</t>
  </si>
  <si>
    <t xml:space="preserve">CORPORACION CENTRO TÉCNICO ARQUITETÓNICO </t>
  </si>
  <si>
    <t>CORPORACIÓN EDUCATIVA -ITAE-</t>
  </si>
  <si>
    <t>CORPORACIÓN ESCUELA DE ARTES Y LETRAS</t>
  </si>
  <si>
    <t>UNIVERSIDAD CATÓLICA LUIS AMIGÓ</t>
  </si>
  <si>
    <t>CORPORACIÓN JOHN F.KENNEDY</t>
  </si>
  <si>
    <t>CORPORACIÓN UNVIERSITARIA CENDA</t>
  </si>
  <si>
    <t>CORPORACIÓN UNIVERSITARIA MARÍA</t>
  </si>
  <si>
    <t>UNIVERSIDAD ECCI</t>
  </si>
  <si>
    <t>ESCUELA COLOMBIANA DE  INGENIERIA</t>
  </si>
  <si>
    <t>ESCUELA NACIONAL DE DEPORTE</t>
  </si>
  <si>
    <t>UNIVERSIDAD NACIONAL</t>
  </si>
  <si>
    <t xml:space="preserve">FUNDACIÓN UNIVERSITARIA AUTONOMA </t>
  </si>
  <si>
    <t>FUNDACIÓN UNIVERSITARIA SAN MARTIN</t>
  </si>
  <si>
    <t>INSTITUCIÓN UNIVERSITARIA ESCOLME</t>
  </si>
  <si>
    <t>FUNDACIÓN UNIVERSITARIA INPAHU</t>
  </si>
  <si>
    <t>UNIVERSIDAD DE ANTIOQUIA</t>
  </si>
  <si>
    <t>UNIVERSIDAD TÉCNICO AGRÍCOLA ITA</t>
  </si>
  <si>
    <t>INSTITUTO DEPARTAMENTAL ARTES</t>
  </si>
  <si>
    <t>UNIVERSIDAD ANTIONIO JOSÉ</t>
  </si>
  <si>
    <t>INSTITUCIÓN DE EDUCACIÓN EMPRESARIAL</t>
  </si>
  <si>
    <t xml:space="preserve">UNIVERSIDAD CENTRAL </t>
  </si>
  <si>
    <t>UNIVERSIDAD EAFIT</t>
  </si>
  <si>
    <t>UNIVERSIDAD DE LOS ANDES</t>
  </si>
  <si>
    <t>UNIVERSIDAD AUTONOMA DE OCCIDENTE</t>
  </si>
  <si>
    <t>UNIPANAMERICANA</t>
  </si>
  <si>
    <t>UNIVERSIDAD DEL ATLÁNTICO</t>
  </si>
  <si>
    <t>UNIVERSIDAD DE PAMPLONA</t>
  </si>
  <si>
    <t>RESULTADOS OBTENIDOS</t>
  </si>
  <si>
    <t>DATOS IMPORTANTES</t>
  </si>
  <si>
    <t>TOTAL CANTIDADES VENDIDAS</t>
  </si>
  <si>
    <t>TOTAL SUBTOTAL</t>
  </si>
  <si>
    <t>PROMEDIO DE VENTAS</t>
  </si>
  <si>
    <t>MÁXIMO DE VENTAS</t>
  </si>
  <si>
    <t>MINIMO DE VENTAS</t>
  </si>
  <si>
    <t>Nº</t>
  </si>
  <si>
    <t>FECHA</t>
  </si>
  <si>
    <t>TEL.</t>
  </si>
  <si>
    <t>CANT</t>
  </si>
  <si>
    <t>DESCRIPCIÒN</t>
  </si>
  <si>
    <t>VR.UNIT</t>
  </si>
  <si>
    <t>VR. TOTAL</t>
  </si>
  <si>
    <t>Vendedor</t>
  </si>
  <si>
    <t xml:space="preserve">Firma y Sello </t>
  </si>
  <si>
    <t xml:space="preserve">C.C /NIT: </t>
  </si>
  <si>
    <t>NIT</t>
  </si>
  <si>
    <t>DIRECCIÓN</t>
  </si>
  <si>
    <t>TELÉFONO</t>
  </si>
  <si>
    <t>FORMA DE PAGO</t>
  </si>
  <si>
    <t>CONTADO</t>
  </si>
  <si>
    <t>CRÉDITO</t>
  </si>
  <si>
    <t xml:space="preserve">DIRECCIÒN: </t>
  </si>
  <si>
    <t xml:space="preserve">C.C Ò NIT </t>
  </si>
  <si>
    <t>FACTURA DE VENTA</t>
  </si>
  <si>
    <t>Ventas totales</t>
  </si>
  <si>
    <t>Ventas</t>
  </si>
  <si>
    <t>Gráfico</t>
  </si>
  <si>
    <t>Top 5 de Productos</t>
  </si>
  <si>
    <t>Top 5 de Compradores</t>
  </si>
  <si>
    <t>INFORME DE VENTAS PAPELERIA PAPEL Y LÁPIZ</t>
  </si>
  <si>
    <t>890980134-1</t>
  </si>
  <si>
    <t>890480054-5</t>
  </si>
  <si>
    <t>891411199-3</t>
  </si>
  <si>
    <t>8900704562-9</t>
  </si>
  <si>
    <t>890203706-2</t>
  </si>
  <si>
    <t>891408248-5</t>
  </si>
  <si>
    <t>860066098-5</t>
  </si>
  <si>
    <t>860504543-1</t>
  </si>
  <si>
    <t>8605008517-8</t>
  </si>
  <si>
    <t>890985856-3</t>
  </si>
  <si>
    <t>800003863-5</t>
  </si>
  <si>
    <t>860401734-9</t>
  </si>
  <si>
    <t>864366098-5</t>
  </si>
  <si>
    <t>862504543-1</t>
  </si>
  <si>
    <t>8607108517-8</t>
  </si>
  <si>
    <t>891995856-3</t>
  </si>
  <si>
    <t>800203863-5</t>
  </si>
  <si>
    <t>860421734-9</t>
  </si>
  <si>
    <t>890310903-5</t>
  </si>
  <si>
    <t>890212433-5</t>
  </si>
  <si>
    <t>823004609-9</t>
  </si>
  <si>
    <t>890982134-3</t>
  </si>
  <si>
    <t>892480054-9</t>
  </si>
  <si>
    <t>891421189-6</t>
  </si>
  <si>
    <t>8902704562-5</t>
  </si>
  <si>
    <t>891204706-2</t>
  </si>
  <si>
    <t>893500248-9</t>
  </si>
  <si>
    <t>860503837-7</t>
  </si>
  <si>
    <t>811005425-1</t>
  </si>
  <si>
    <t>860510627-6</t>
  </si>
  <si>
    <t>Carrera 78 N° 65-46</t>
  </si>
  <si>
    <t>Avda 30 de Agosto N° 52-236</t>
  </si>
  <si>
    <t>Centro Carrera 3 Calle de la factoria N°35-95</t>
  </si>
  <si>
    <t xml:space="preserve">Calle 10 N° 29-93 </t>
  </si>
  <si>
    <t>Calle 10 N° 3-95</t>
  </si>
  <si>
    <t>Calle 74 N° 11-92</t>
  </si>
  <si>
    <t>Carrera 14 N° 12-42</t>
  </si>
  <si>
    <t>Carrera 23 N° 63-36</t>
  </si>
  <si>
    <t>Calle 41 N° 27A-56</t>
  </si>
  <si>
    <t>Calle 46 N° 13-43</t>
  </si>
  <si>
    <t>Calle 19 N° 3-16</t>
  </si>
  <si>
    <t>Calle 48 N° 50-30</t>
  </si>
  <si>
    <t>Calle 34 N° 15-36</t>
  </si>
  <si>
    <t>Calle 33 N° 11-50</t>
  </si>
  <si>
    <t>Carrera 9 N° 45 A-44</t>
  </si>
  <si>
    <t>Carrera 28 N° 19-24</t>
  </si>
  <si>
    <t>Calle 5 N° 3-85</t>
  </si>
  <si>
    <t>Calle 30 N° 35-18</t>
  </si>
  <si>
    <t>Carrera 53 N° 59-70</t>
  </si>
  <si>
    <t>Calle 70 N° 10 A-39</t>
  </si>
  <si>
    <t>Calle 27 N° 21-49</t>
  </si>
  <si>
    <t>Calle 21 N° 6-01</t>
  </si>
  <si>
    <t>Carrera 50 N° 79-155</t>
  </si>
  <si>
    <t>Calle 67 N° 5-27</t>
  </si>
  <si>
    <t>Calle 81 B N° 79-155</t>
  </si>
  <si>
    <t>Calle 51 N° 72 A-70</t>
  </si>
  <si>
    <t>Calle 76 N° 12-58</t>
  </si>
  <si>
    <t>Carrera 19 N° 49-20</t>
  </si>
  <si>
    <t>Calle 9 N° 34-01</t>
  </si>
  <si>
    <t>FRECUENCIA DE COMPRA EN DIAS</t>
  </si>
  <si>
    <t>RETE-FUENTE</t>
  </si>
  <si>
    <t xml:space="preserve">SUB-TOTAL $ </t>
  </si>
  <si>
    <t>Total general</t>
  </si>
  <si>
    <t>Total 2</t>
  </si>
  <si>
    <t>Total 3</t>
  </si>
  <si>
    <t>Total 4</t>
  </si>
  <si>
    <t>Total 5</t>
  </si>
  <si>
    <t>Total 6</t>
  </si>
  <si>
    <t>Total 7</t>
  </si>
  <si>
    <t>Total 8</t>
  </si>
  <si>
    <t>Total 10</t>
  </si>
  <si>
    <t>Total 15</t>
  </si>
  <si>
    <t>Total 30</t>
  </si>
  <si>
    <t>Etiquetas de fila</t>
  </si>
  <si>
    <t>(en blanco)</t>
  </si>
  <si>
    <t>Suma de TOTAL A PAGAR</t>
  </si>
  <si>
    <t>Etiquetas de columna</t>
  </si>
  <si>
    <t xml:space="preserve">Atlántico </t>
  </si>
  <si>
    <t>Total ventas</t>
  </si>
  <si>
    <t>Total Ventas</t>
  </si>
  <si>
    <t>Si el subtotal es mayor o igual a 90.000 se le cobrará un IVA del 19%.</t>
  </si>
  <si>
    <t>M7</t>
  </si>
  <si>
    <t>Iva 19%</t>
  </si>
  <si>
    <t>Iva 0%</t>
  </si>
  <si>
    <t>Si el subtotal es menor o igual a 400.000 se le cobrará una rete-fuente del 3,5%</t>
  </si>
  <si>
    <t>Si la frecuencia de compra es mayor o igual a 15 días se considera “Mala Demanda”, de lo contrario se considera “Buena demanda”.</t>
  </si>
  <si>
    <t>"Mala Demanda"</t>
  </si>
  <si>
    <t>"Buena Demanda"</t>
  </si>
  <si>
    <t>I7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</si>
</sst>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240A]\ * #,##0_);_([$$-240A]\ * \(#,##0\);_([$$-240A]\ * &quot;-&quot;??_);_(@_)"/>
    <numFmt numFmtId="165" formatCode="_ * #,##0.00_ ;_ * \-#,##0.00_ ;_ * &quot;-&quot;??_ ;_ @_ "/>
    <numFmt numFmtId="166" formatCode="_-&quot;$&quot;* #,##0_-;\-&quot;$&quot;* #,##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4" tint="-0.249977111117893"/>
      <name val="Arial Black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MS Sans Serif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Playbill"/>
      <family val="5"/>
    </font>
    <font>
      <sz val="11"/>
      <name val="Calibri"/>
      <family val="2"/>
      <scheme val="minor"/>
    </font>
    <font>
      <sz val="16"/>
      <color indexed="18"/>
      <name val="Arial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rgb="FF66330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663300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rgb="FF66330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66330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663300"/>
      </left>
      <right style="thin">
        <color theme="4" tint="-0.499984740745262"/>
      </right>
      <top/>
      <bottom/>
      <diagonal/>
    </border>
    <border>
      <left style="thin">
        <color rgb="FF663300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rgb="FF663300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4" tint="-0.499984740745262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4" fillId="2" borderId="0" xfId="0" applyFont="1" applyFill="1" applyBorder="1"/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/>
    <xf numFmtId="0" fontId="0" fillId="0" borderId="0" xfId="0" applyBorder="1" applyAlignment="1"/>
    <xf numFmtId="0" fontId="2" fillId="4" borderId="21" xfId="0" applyFont="1" applyFill="1" applyBorder="1"/>
    <xf numFmtId="0" fontId="0" fillId="3" borderId="21" xfId="0" applyFill="1" applyBorder="1"/>
    <xf numFmtId="0" fontId="0" fillId="3" borderId="30" xfId="0" applyFill="1" applyBorder="1"/>
    <xf numFmtId="0" fontId="0" fillId="3" borderId="31" xfId="0" applyFill="1" applyBorder="1"/>
    <xf numFmtId="0" fontId="0" fillId="0" borderId="0" xfId="0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/>
    <xf numFmtId="0" fontId="9" fillId="3" borderId="18" xfId="0" applyFont="1" applyFill="1" applyBorder="1" applyAlignment="1">
      <alignment horizontal="center"/>
    </xf>
    <xf numFmtId="0" fontId="9" fillId="3" borderId="24" xfId="0" applyFont="1" applyFill="1" applyBorder="1" applyAlignment="1"/>
    <xf numFmtId="0" fontId="9" fillId="3" borderId="38" xfId="0" applyFont="1" applyFill="1" applyBorder="1" applyAlignment="1">
      <alignment horizontal="center"/>
    </xf>
    <xf numFmtId="0" fontId="9" fillId="3" borderId="23" xfId="0" applyFont="1" applyFill="1" applyBorder="1" applyAlignment="1"/>
    <xf numFmtId="0" fontId="0" fillId="6" borderId="0" xfId="0" applyFill="1"/>
    <xf numFmtId="0" fontId="11" fillId="9" borderId="0" xfId="0" applyFont="1" applyFill="1" applyAlignment="1">
      <alignment horizontal="center"/>
    </xf>
    <xf numFmtId="0" fontId="0" fillId="9" borderId="0" xfId="0" applyFill="1"/>
    <xf numFmtId="0" fontId="0" fillId="8" borderId="1" xfId="0" applyFill="1" applyBorder="1"/>
    <xf numFmtId="0" fontId="0" fillId="0" borderId="4" xfId="0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/>
    <xf numFmtId="166" fontId="0" fillId="0" borderId="1" xfId="5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Border="1" applyAlignment="1">
      <alignment horizontal="center"/>
    </xf>
    <xf numFmtId="166" fontId="0" fillId="0" borderId="0" xfId="5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0" fillId="3" borderId="24" xfId="0" applyFont="1" applyFill="1" applyBorder="1" applyAlignment="1"/>
    <xf numFmtId="3" fontId="3" fillId="0" borderId="1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7" fillId="0" borderId="47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6" fontId="0" fillId="0" borderId="0" xfId="0" applyNumberFormat="1"/>
    <xf numFmtId="166" fontId="0" fillId="8" borderId="1" xfId="5" applyNumberFormat="1" applyFont="1" applyFill="1" applyBorder="1"/>
    <xf numFmtId="166" fontId="0" fillId="0" borderId="0" xfId="5" applyNumberFormat="1" applyFont="1"/>
    <xf numFmtId="0" fontId="15" fillId="0" borderId="0" xfId="0" applyFont="1"/>
    <xf numFmtId="0" fontId="0" fillId="11" borderId="0" xfId="0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12" borderId="0" xfId="0" applyFill="1"/>
    <xf numFmtId="0" fontId="0" fillId="7" borderId="0" xfId="0" applyFill="1"/>
    <xf numFmtId="0" fontId="4" fillId="0" borderId="0" xfId="0" applyFont="1" applyFill="1" applyBorder="1"/>
    <xf numFmtId="0" fontId="4" fillId="0" borderId="1" xfId="0" applyFont="1" applyFill="1" applyBorder="1"/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3" fontId="0" fillId="0" borderId="1" xfId="0" applyNumberFormat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66" fontId="0" fillId="3" borderId="26" xfId="5" applyNumberFormat="1" applyFont="1" applyFill="1" applyBorder="1" applyAlignment="1">
      <alignment horizontal="center"/>
    </xf>
    <xf numFmtId="166" fontId="0" fillId="3" borderId="27" xfId="5" applyNumberFormat="1" applyFont="1" applyFill="1" applyBorder="1" applyAlignment="1">
      <alignment horizontal="center"/>
    </xf>
    <xf numFmtId="166" fontId="0" fillId="3" borderId="28" xfId="5" applyNumberFormat="1" applyFont="1" applyFill="1" applyBorder="1" applyAlignment="1">
      <alignment horizontal="center"/>
    </xf>
    <xf numFmtId="166" fontId="0" fillId="3" borderId="29" xfId="5" applyNumberFormat="1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3" borderId="39" xfId="0" applyFont="1" applyFill="1" applyBorder="1" applyAlignment="1">
      <alignment horizontal="center" vertical="top"/>
    </xf>
    <xf numFmtId="0" fontId="9" fillId="3" borderId="41" xfId="0" applyFont="1" applyFill="1" applyBorder="1" applyAlignment="1">
      <alignment horizontal="center" vertical="top"/>
    </xf>
    <xf numFmtId="0" fontId="9" fillId="3" borderId="35" xfId="0" applyFont="1" applyFill="1" applyBorder="1" applyAlignment="1">
      <alignment horizontal="center" vertical="top"/>
    </xf>
    <xf numFmtId="0" fontId="9" fillId="3" borderId="4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9" fillId="3" borderId="19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0" fillId="3" borderId="10" xfId="0" applyFont="1" applyFill="1" applyBorder="1" applyAlignment="1">
      <alignment horizontal="center" vertical="top"/>
    </xf>
    <xf numFmtId="0" fontId="10" fillId="3" borderId="34" xfId="0" applyFont="1" applyFill="1" applyBorder="1" applyAlignment="1">
      <alignment horizontal="center" vertical="top"/>
    </xf>
    <xf numFmtId="0" fontId="10" fillId="3" borderId="37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0" fillId="3" borderId="13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3" borderId="35" xfId="0" applyFont="1" applyFill="1" applyBorder="1" applyAlignment="1">
      <alignment horizontal="center" vertical="top"/>
    </xf>
    <xf numFmtId="0" fontId="10" fillId="3" borderId="36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 vertical="top"/>
    </xf>
    <xf numFmtId="166" fontId="10" fillId="3" borderId="25" xfId="5" applyNumberFormat="1" applyFont="1" applyFill="1" applyBorder="1" applyAlignment="1">
      <alignment horizontal="center"/>
    </xf>
    <xf numFmtId="166" fontId="10" fillId="3" borderId="17" xfId="5" applyNumberFormat="1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</cellXfs>
  <cellStyles count="6">
    <cellStyle name="Heading" xfId="2"/>
    <cellStyle name="Millares" xfId="1" builtinId="3"/>
    <cellStyle name="Millares 2" xfId="3"/>
    <cellStyle name="Moneda" xfId="5" builtinId="4"/>
    <cellStyle name="Normal" xfId="0" builtinId="0"/>
    <cellStyle name="Normal 2" xfId="4"/>
  </cellStyles>
  <dxfs count="33">
    <dxf>
      <alignment horizontal="center" readingOrder="0"/>
    </dxf>
    <dxf>
      <numFmt numFmtId="166" formatCode="_-&quot;$&quot;* #,##0_-;\-&quot;$&quot;* #,##0_-;_-&quot;$&quot;* &quot;-&quot;??_-;_-@_-"/>
    </dxf>
    <dxf>
      <alignment horizontal="center" readingOrder="0"/>
    </dxf>
    <dxf>
      <numFmt numFmtId="166" formatCode="_-&quot;$&quot;* #,##0_-;\-&quot;$&quot;* #,##0_-;_-&quot;$&quot;* &quot;-&quot;??_-;_-@_-"/>
    </dxf>
    <dxf>
      <numFmt numFmtId="166" formatCode="_-&quot;$&quot;* #,##0_-;\-&quot;$&quot;* #,##0_-;_-&quot;$&quot;* &quot;-&quot;??_-;_-@_-"/>
    </dxf>
    <dxf>
      <numFmt numFmtId="166" formatCode="_-&quot;$&quot;* #,##0_-;\-&quot;$&quot;* #,##0_-;_-&quot;$&quot;* &quot;-&quot;??_-;_-@_-"/>
    </dxf>
    <dxf>
      <alignment horizontal="center" readingOrder="0"/>
    </dxf>
    <dxf>
      <numFmt numFmtId="166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* #,##0_-;\-&quot;$&quot;* #,##0_-;_-&quot;$&quot;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_-&quot;$&quot;* #,##0_-;\-&quot;$&quot;* #,##0_-;_-&quot;$&quot;* &quot;-&quot;??_-;_-@_-"/>
    </dxf>
    <dxf>
      <numFmt numFmtId="166" formatCode="_-&quot;$&quot;* #,##0_-;\-&quot;$&quot;* #,##0_-;_-&quot;$&quot;* &quot;-&quot;??_-;_-@_-"/>
    </dxf>
    <dxf>
      <numFmt numFmtId="166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$&quot;* #,##0_-;\-&quot;$&quot;* #,##0_-;_-&quot;$&quot;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[$$-240A]\ * #,##0_);_([$$-240A]\ * \(#,##0\);_([$$-240A]\ * &quot;-&quot;??_);_(@_)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1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[Plantilla de ventas.xlsx]Segmentación!Tabla dinámica3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Segmentación!$B$1:$B$2</c:f>
              <c:strCache>
                <c:ptCount val="1"/>
                <c:pt idx="0">
                  <c:v>CONTADO</c:v>
                </c:pt>
              </c:strCache>
            </c:strRef>
          </c:tx>
          <c:invertIfNegative val="0"/>
          <c:cat>
            <c:strRef>
              <c:f>Segmentación!$A$3:$A$33</c:f>
              <c:strCache>
                <c:ptCount val="30"/>
                <c:pt idx="0">
                  <c:v>CASA DE LA CULTURA PEDRITO RUIZ</c:v>
                </c:pt>
                <c:pt idx="1">
                  <c:v>COLEGIO MAYOR DE ANTIOQUIA</c:v>
                </c:pt>
                <c:pt idx="2">
                  <c:v>CORPORACION ARTES Y OFICIOS</c:v>
                </c:pt>
                <c:pt idx="3">
                  <c:v>CORPORACION CENTRO TÉCNICO ARQUITETÓNICO </c:v>
                </c:pt>
                <c:pt idx="4">
                  <c:v>CORPORACIÓN EDUCATIVA -ITAE-</c:v>
                </c:pt>
                <c:pt idx="5">
                  <c:v>CORPORACIÓN ESCUELA DE ARTES Y LETRAS</c:v>
                </c:pt>
                <c:pt idx="6">
                  <c:v>CORPORACIÓN JOHN F.KENNEDY</c:v>
                </c:pt>
                <c:pt idx="7">
                  <c:v>CORPORACIÓN UNIVERSITARIA MARÍA</c:v>
                </c:pt>
                <c:pt idx="8">
                  <c:v>CORPORACIÓN UNVIERSITARIA CENDA</c:v>
                </c:pt>
                <c:pt idx="9">
                  <c:v>ESCUELA COLOMBIANA DE  INGENIERIA</c:v>
                </c:pt>
                <c:pt idx="10">
                  <c:v>ESCUELA NACIONAL DE DEPORTE</c:v>
                </c:pt>
                <c:pt idx="11">
                  <c:v>FUNDACIÓN UNIVERSITARIA AUTONOMA </c:v>
                </c:pt>
                <c:pt idx="12">
                  <c:v>FUNDACIÓN UNIVERSITARIA INPAHU</c:v>
                </c:pt>
                <c:pt idx="13">
                  <c:v>FUNDACIÓN UNIVERSITARIA SAN MARTIN</c:v>
                </c:pt>
                <c:pt idx="14">
                  <c:v>INSTITUCIÓN DE EDUCACIÓN EMPRESARIAL</c:v>
                </c:pt>
                <c:pt idx="15">
                  <c:v>INSTITUCIÓN UNIVERSITARIA ESCOLME</c:v>
                </c:pt>
                <c:pt idx="16">
                  <c:v>INSTITUTO DEPARTAMENTAL ARTES</c:v>
                </c:pt>
                <c:pt idx="17">
                  <c:v>UNIPANAMERICANA</c:v>
                </c:pt>
                <c:pt idx="18">
                  <c:v>UNIVERSIDAD ANTIONIO JOSÉ</c:v>
                </c:pt>
                <c:pt idx="19">
                  <c:v>UNIVERSIDAD AUTONOMA DE OCCIDENTE</c:v>
                </c:pt>
                <c:pt idx="20">
                  <c:v>UNIVERSIDAD CATÓLICA LUIS AMIGÓ</c:v>
                </c:pt>
                <c:pt idx="21">
                  <c:v>UNIVERSIDAD CENTRAL </c:v>
                </c:pt>
                <c:pt idx="22">
                  <c:v>UNIVERSIDAD DE ANTIOQUIA</c:v>
                </c:pt>
                <c:pt idx="23">
                  <c:v>UNIVERSIDAD DE LOS ANDES</c:v>
                </c:pt>
                <c:pt idx="24">
                  <c:v>UNIVERSIDAD DE PAMPLONA</c:v>
                </c:pt>
                <c:pt idx="25">
                  <c:v>UNIVERSIDAD DEL ATLÁNTICO</c:v>
                </c:pt>
                <c:pt idx="26">
                  <c:v>UNIVERSIDAD EAFIT</c:v>
                </c:pt>
                <c:pt idx="27">
                  <c:v>UNIVERSIDAD ECCI</c:v>
                </c:pt>
                <c:pt idx="28">
                  <c:v>UNIVERSIDAD NACIONAL</c:v>
                </c:pt>
                <c:pt idx="29">
                  <c:v>UNIVERSIDAD TÉCNICO AGRÍCOLA ITA</c:v>
                </c:pt>
              </c:strCache>
            </c:strRef>
          </c:cat>
          <c:val>
            <c:numRef>
              <c:f>Segmentación!$B$3:$B$33</c:f>
              <c:numCache>
                <c:formatCode>_-"$"* #,##0_-;\-"$"* #,##0_-;_-"$"* "-"??_-;_-@_-</c:formatCode>
                <c:ptCount val="30"/>
                <c:pt idx="1">
                  <c:v>1380510.075</c:v>
                </c:pt>
                <c:pt idx="2">
                  <c:v>64141.62</c:v>
                </c:pt>
                <c:pt idx="3">
                  <c:v>592802.30799999996</c:v>
                </c:pt>
                <c:pt idx="6">
                  <c:v>127719.90000000001</c:v>
                </c:pt>
                <c:pt idx="7">
                  <c:v>63183.375</c:v>
                </c:pt>
                <c:pt idx="8">
                  <c:v>23039.375</c:v>
                </c:pt>
                <c:pt idx="10">
                  <c:v>222193.125</c:v>
                </c:pt>
                <c:pt idx="12">
                  <c:v>83306.905999999988</c:v>
                </c:pt>
                <c:pt idx="13">
                  <c:v>55294.5</c:v>
                </c:pt>
                <c:pt idx="18">
                  <c:v>119126.70000000001</c:v>
                </c:pt>
                <c:pt idx="21">
                  <c:v>709144.8</c:v>
                </c:pt>
                <c:pt idx="23">
                  <c:v>37586.75</c:v>
                </c:pt>
                <c:pt idx="24">
                  <c:v>105492.15599999999</c:v>
                </c:pt>
                <c:pt idx="25">
                  <c:v>268884</c:v>
                </c:pt>
                <c:pt idx="28">
                  <c:v>352730.76299999998</c:v>
                </c:pt>
                <c:pt idx="29">
                  <c:v>172816.875</c:v>
                </c:pt>
              </c:numCache>
            </c:numRef>
          </c:val>
        </c:ser>
        <c:ser>
          <c:idx val="1"/>
          <c:order val="1"/>
          <c:tx>
            <c:strRef>
              <c:f>Segmentación!$C$1:$C$2</c:f>
              <c:strCache>
                <c:ptCount val="1"/>
                <c:pt idx="0">
                  <c:v>CRÉDITO</c:v>
                </c:pt>
              </c:strCache>
            </c:strRef>
          </c:tx>
          <c:invertIfNegative val="0"/>
          <c:cat>
            <c:strRef>
              <c:f>Segmentación!$A$3:$A$33</c:f>
              <c:strCache>
                <c:ptCount val="30"/>
                <c:pt idx="0">
                  <c:v>CASA DE LA CULTURA PEDRITO RUIZ</c:v>
                </c:pt>
                <c:pt idx="1">
                  <c:v>COLEGIO MAYOR DE ANTIOQUIA</c:v>
                </c:pt>
                <c:pt idx="2">
                  <c:v>CORPORACION ARTES Y OFICIOS</c:v>
                </c:pt>
                <c:pt idx="3">
                  <c:v>CORPORACION CENTRO TÉCNICO ARQUITETÓNICO </c:v>
                </c:pt>
                <c:pt idx="4">
                  <c:v>CORPORACIÓN EDUCATIVA -ITAE-</c:v>
                </c:pt>
                <c:pt idx="5">
                  <c:v>CORPORACIÓN ESCUELA DE ARTES Y LETRAS</c:v>
                </c:pt>
                <c:pt idx="6">
                  <c:v>CORPORACIÓN JOHN F.KENNEDY</c:v>
                </c:pt>
                <c:pt idx="7">
                  <c:v>CORPORACIÓN UNIVERSITARIA MARÍA</c:v>
                </c:pt>
                <c:pt idx="8">
                  <c:v>CORPORACIÓN UNVIERSITARIA CENDA</c:v>
                </c:pt>
                <c:pt idx="9">
                  <c:v>ESCUELA COLOMBIANA DE  INGENIERIA</c:v>
                </c:pt>
                <c:pt idx="10">
                  <c:v>ESCUELA NACIONAL DE DEPORTE</c:v>
                </c:pt>
                <c:pt idx="11">
                  <c:v>FUNDACIÓN UNIVERSITARIA AUTONOMA </c:v>
                </c:pt>
                <c:pt idx="12">
                  <c:v>FUNDACIÓN UNIVERSITARIA INPAHU</c:v>
                </c:pt>
                <c:pt idx="13">
                  <c:v>FUNDACIÓN UNIVERSITARIA SAN MARTIN</c:v>
                </c:pt>
                <c:pt idx="14">
                  <c:v>INSTITUCIÓN DE EDUCACIÓN EMPRESARIAL</c:v>
                </c:pt>
                <c:pt idx="15">
                  <c:v>INSTITUCIÓN UNIVERSITARIA ESCOLME</c:v>
                </c:pt>
                <c:pt idx="16">
                  <c:v>INSTITUTO DEPARTAMENTAL ARTES</c:v>
                </c:pt>
                <c:pt idx="17">
                  <c:v>UNIPANAMERICANA</c:v>
                </c:pt>
                <c:pt idx="18">
                  <c:v>UNIVERSIDAD ANTIONIO JOSÉ</c:v>
                </c:pt>
                <c:pt idx="19">
                  <c:v>UNIVERSIDAD AUTONOMA DE OCCIDENTE</c:v>
                </c:pt>
                <c:pt idx="20">
                  <c:v>UNIVERSIDAD CATÓLICA LUIS AMIGÓ</c:v>
                </c:pt>
                <c:pt idx="21">
                  <c:v>UNIVERSIDAD CENTRAL </c:v>
                </c:pt>
                <c:pt idx="22">
                  <c:v>UNIVERSIDAD DE ANTIOQUIA</c:v>
                </c:pt>
                <c:pt idx="23">
                  <c:v>UNIVERSIDAD DE LOS ANDES</c:v>
                </c:pt>
                <c:pt idx="24">
                  <c:v>UNIVERSIDAD DE PAMPLONA</c:v>
                </c:pt>
                <c:pt idx="25">
                  <c:v>UNIVERSIDAD DEL ATLÁNTICO</c:v>
                </c:pt>
                <c:pt idx="26">
                  <c:v>UNIVERSIDAD EAFIT</c:v>
                </c:pt>
                <c:pt idx="27">
                  <c:v>UNIVERSIDAD ECCI</c:v>
                </c:pt>
                <c:pt idx="28">
                  <c:v>UNIVERSIDAD NACIONAL</c:v>
                </c:pt>
                <c:pt idx="29">
                  <c:v>UNIVERSIDAD TÉCNICO AGRÍCOLA ITA</c:v>
                </c:pt>
              </c:strCache>
            </c:strRef>
          </c:cat>
          <c:val>
            <c:numRef>
              <c:f>Segmentación!$C$3:$C$33</c:f>
              <c:numCache>
                <c:formatCode>_-"$"* #,##0_-;\-"$"* #,##0_-;_-"$"* "-"??_-;_-@_-</c:formatCode>
                <c:ptCount val="30"/>
                <c:pt idx="0">
                  <c:v>155791.25099999999</c:v>
                </c:pt>
                <c:pt idx="4">
                  <c:v>33003</c:v>
                </c:pt>
                <c:pt idx="5">
                  <c:v>264505.39500000002</c:v>
                </c:pt>
                <c:pt idx="9">
                  <c:v>1380510.075</c:v>
                </c:pt>
                <c:pt idx="11">
                  <c:v>171503.17800000001</c:v>
                </c:pt>
                <c:pt idx="14">
                  <c:v>104235.86249999999</c:v>
                </c:pt>
                <c:pt idx="15">
                  <c:v>294940.80000000005</c:v>
                </c:pt>
                <c:pt idx="16">
                  <c:v>249295.2</c:v>
                </c:pt>
                <c:pt idx="17">
                  <c:v>20274.650000000001</c:v>
                </c:pt>
                <c:pt idx="19">
                  <c:v>448226.625</c:v>
                </c:pt>
                <c:pt idx="20">
                  <c:v>334990.42500000005</c:v>
                </c:pt>
                <c:pt idx="22">
                  <c:v>66353.399999999994</c:v>
                </c:pt>
                <c:pt idx="26">
                  <c:v>1058148</c:v>
                </c:pt>
                <c:pt idx="27">
                  <c:v>293404.65000000002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90016"/>
        <c:axId val="133591808"/>
      </c:barChart>
      <c:catAx>
        <c:axId val="13359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3591808"/>
        <c:crosses val="autoZero"/>
        <c:auto val="1"/>
        <c:lblAlgn val="ctr"/>
        <c:lblOffset val="100"/>
        <c:noMultiLvlLbl val="0"/>
      </c:catAx>
      <c:valAx>
        <c:axId val="133591808"/>
        <c:scaling>
          <c:orientation val="minMax"/>
        </c:scaling>
        <c:delete val="0"/>
        <c:axPos val="l"/>
        <c:majorGridlines/>
        <c:numFmt formatCode="_-&quot;$&quot;* #,##0_-;\-&quot;$&quot;* #,##0_-;_-&quot;$&quot;* &quot;-&quot;??_-;_-@_-" sourceLinked="1"/>
        <c:majorTickMark val="out"/>
        <c:minorTickMark val="none"/>
        <c:tickLblPos val="nextTo"/>
        <c:crossAx val="133590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[Plantilla de ventas.xlsx]Tablas dinámicas!Tabla dinámica7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es-CO"/>
              <a:t>Formas</a:t>
            </a:r>
            <a:r>
              <a:rPr lang="es-CO" baseline="0"/>
              <a:t> de Pago</a:t>
            </a:r>
            <a:endParaRPr lang="es-CO"/>
          </a:p>
        </c:rich>
      </c:tx>
      <c:overlay val="0"/>
    </c:title>
    <c:autoTitleDeleted val="0"/>
    <c:pivotFmts>
      <c:pivotFmt>
        <c:idx val="0"/>
      </c:pivotFmt>
      <c:pivotFmt>
        <c:idx val="1"/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dinámicas'!$M$1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'Tablas dinámicas'!$L$2:$L$4</c:f>
              <c:strCache>
                <c:ptCount val="2"/>
                <c:pt idx="0">
                  <c:v>CRÉDITO</c:v>
                </c:pt>
                <c:pt idx="1">
                  <c:v>CONTADO</c:v>
                </c:pt>
              </c:strCache>
            </c:strRef>
          </c:cat>
          <c:val>
            <c:numRef>
              <c:f>'Tablas dinámicas'!$M$2:$M$4</c:f>
              <c:numCache>
                <c:formatCode>_-"$"* #,##0_-;\-"$"* #,##0_-;_-"$"* "-"??_-;_-@_-</c:formatCode>
                <c:ptCount val="2"/>
                <c:pt idx="0">
                  <c:v>4875182.511500001</c:v>
                </c:pt>
                <c:pt idx="1">
                  <c:v>4377973.2280000001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71328"/>
        <c:axId val="109972864"/>
      </c:barChart>
      <c:catAx>
        <c:axId val="109971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972864"/>
        <c:crosses val="autoZero"/>
        <c:auto val="1"/>
        <c:lblAlgn val="ctr"/>
        <c:lblOffset val="100"/>
        <c:noMultiLvlLbl val="0"/>
      </c:catAx>
      <c:valAx>
        <c:axId val="109972864"/>
        <c:scaling>
          <c:orientation val="minMax"/>
        </c:scaling>
        <c:delete val="0"/>
        <c:axPos val="l"/>
        <c:majorGridlines/>
        <c:numFmt formatCode="_-&quot;$&quot;* #,##0_-;\-&quot;$&quot;* #,##0_-;_-&quot;$&quot;* &quot;-&quot;??_-;_-@_-" sourceLinked="1"/>
        <c:majorTickMark val="out"/>
        <c:minorTickMark val="none"/>
        <c:tickLblPos val="nextTo"/>
        <c:crossAx val="109971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[Plantilla de ventas.xlsx]Tablas dinámicas!Tabla dinámica6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es-CO"/>
              <a:t>Ventas por producto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'Tablas dinámicas'!$I$1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'Tablas dinámicas'!$H$2:$H$7</c:f>
              <c:strCache>
                <c:ptCount val="5"/>
                <c:pt idx="0">
                  <c:v>CAJA DE RESMAS TAMAÑO OFICIO </c:v>
                </c:pt>
                <c:pt idx="1">
                  <c:v>MORRAL </c:v>
                </c:pt>
                <c:pt idx="2">
                  <c:v>CAJA DE COLORES NORMA</c:v>
                </c:pt>
                <c:pt idx="3">
                  <c:v>CAJA DE RESMAS TAMAÑO CARTA X 15 </c:v>
                </c:pt>
                <c:pt idx="4">
                  <c:v>CARPETAS PARA ARCHIVO TAMAÑO OFICIO</c:v>
                </c:pt>
              </c:strCache>
            </c:strRef>
          </c:cat>
          <c:val>
            <c:numRef>
              <c:f>'Tablas dinámicas'!$I$2:$I$7</c:f>
              <c:numCache>
                <c:formatCode>_-"$"* #,##0_-;\-"$"* #,##0_-;_-"$"* "-"??_-;_-@_-</c:formatCode>
                <c:ptCount val="5"/>
                <c:pt idx="0">
                  <c:v>2761020.15</c:v>
                </c:pt>
                <c:pt idx="1">
                  <c:v>2036176.8</c:v>
                </c:pt>
                <c:pt idx="2">
                  <c:v>869351.17500000005</c:v>
                </c:pt>
                <c:pt idx="3">
                  <c:v>592802.30799999996</c:v>
                </c:pt>
                <c:pt idx="4">
                  <c:v>584285.625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344"/>
        <c:axId val="110007424"/>
      </c:lineChart>
      <c:catAx>
        <c:axId val="109993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007424"/>
        <c:crosses val="autoZero"/>
        <c:auto val="1"/>
        <c:lblAlgn val="ctr"/>
        <c:lblOffset val="100"/>
        <c:noMultiLvlLbl val="0"/>
      </c:catAx>
      <c:valAx>
        <c:axId val="110007424"/>
        <c:scaling>
          <c:orientation val="minMax"/>
        </c:scaling>
        <c:delete val="0"/>
        <c:axPos val="l"/>
        <c:majorGridlines/>
        <c:numFmt formatCode="_-&quot;$&quot;* #,##0_-;\-&quot;$&quot;* #,##0_-;_-&quot;$&quot;* &quot;-&quot;??_-;_-@_-" sourceLinked="1"/>
        <c:majorTickMark val="out"/>
        <c:minorTickMark val="none"/>
        <c:tickLblPos val="nextTo"/>
        <c:crossAx val="10999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26</xdr:row>
      <xdr:rowOff>9524</xdr:rowOff>
    </xdr:from>
    <xdr:to>
      <xdr:col>4</xdr:col>
      <xdr:colOff>685800</xdr:colOff>
      <xdr:row>27</xdr:row>
      <xdr:rowOff>9524</xdr:rowOff>
    </xdr:to>
    <xdr:sp macro="" textlink="">
      <xdr:nvSpPr>
        <xdr:cNvPr id="8" name="Flecha derecha 7"/>
        <xdr:cNvSpPr/>
      </xdr:nvSpPr>
      <xdr:spPr>
        <a:xfrm>
          <a:off x="3971925" y="4952999"/>
          <a:ext cx="600075" cy="276225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26</xdr:row>
      <xdr:rowOff>104775</xdr:rowOff>
    </xdr:from>
    <xdr:to>
      <xdr:col>4</xdr:col>
      <xdr:colOff>552450</xdr:colOff>
      <xdr:row>26</xdr:row>
      <xdr:rowOff>200025</xdr:rowOff>
    </xdr:to>
    <xdr:sp macro="" textlink="">
      <xdr:nvSpPr>
        <xdr:cNvPr id="9" name="CuadroTexto 8"/>
        <xdr:cNvSpPr txBox="1"/>
      </xdr:nvSpPr>
      <xdr:spPr>
        <a:xfrm>
          <a:off x="4010025" y="5048250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26</xdr:row>
      <xdr:rowOff>19050</xdr:rowOff>
    </xdr:from>
    <xdr:to>
      <xdr:col>5</xdr:col>
      <xdr:colOff>47625</xdr:colOff>
      <xdr:row>26</xdr:row>
      <xdr:rowOff>228600</xdr:rowOff>
    </xdr:to>
    <xdr:sp macro="" textlink="">
      <xdr:nvSpPr>
        <xdr:cNvPr id="10" name="CuadroTexto 9"/>
        <xdr:cNvSpPr txBox="1"/>
      </xdr:nvSpPr>
      <xdr:spPr>
        <a:xfrm>
          <a:off x="4591050" y="4962525"/>
          <a:ext cx="247650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25</xdr:row>
      <xdr:rowOff>161925</xdr:rowOff>
    </xdr:from>
    <xdr:to>
      <xdr:col>1</xdr:col>
      <xdr:colOff>523875</xdr:colOff>
      <xdr:row>25</xdr:row>
      <xdr:rowOff>161925</xdr:rowOff>
    </xdr:to>
    <xdr:cxnSp macro="">
      <xdr:nvCxnSpPr>
        <xdr:cNvPr id="11" name="Conector recto 11"/>
        <xdr:cNvCxnSpPr/>
      </xdr:nvCxnSpPr>
      <xdr:spPr>
        <a:xfrm>
          <a:off x="152400" y="4914900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25</xdr:row>
      <xdr:rowOff>161925</xdr:rowOff>
    </xdr:from>
    <xdr:to>
      <xdr:col>3</xdr:col>
      <xdr:colOff>1476375</xdr:colOff>
      <xdr:row>25</xdr:row>
      <xdr:rowOff>171450</xdr:rowOff>
    </xdr:to>
    <xdr:cxnSp macro="">
      <xdr:nvCxnSpPr>
        <xdr:cNvPr id="12" name="Conector recto 12"/>
        <xdr:cNvCxnSpPr/>
      </xdr:nvCxnSpPr>
      <xdr:spPr>
        <a:xfrm flipV="1">
          <a:off x="1647825" y="4914900"/>
          <a:ext cx="21145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55</xdr:row>
      <xdr:rowOff>9524</xdr:rowOff>
    </xdr:from>
    <xdr:to>
      <xdr:col>4</xdr:col>
      <xdr:colOff>685800</xdr:colOff>
      <xdr:row>56</xdr:row>
      <xdr:rowOff>9524</xdr:rowOff>
    </xdr:to>
    <xdr:sp macro="" textlink="">
      <xdr:nvSpPr>
        <xdr:cNvPr id="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55</xdr:row>
      <xdr:rowOff>104775</xdr:rowOff>
    </xdr:from>
    <xdr:to>
      <xdr:col>4</xdr:col>
      <xdr:colOff>552450</xdr:colOff>
      <xdr:row>55</xdr:row>
      <xdr:rowOff>200025</xdr:rowOff>
    </xdr:to>
    <xdr:sp macro="" textlink="">
      <xdr:nvSpPr>
        <xdr:cNvPr id="1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55</xdr:row>
      <xdr:rowOff>19050</xdr:rowOff>
    </xdr:from>
    <xdr:to>
      <xdr:col>5</xdr:col>
      <xdr:colOff>47625</xdr:colOff>
      <xdr:row>55</xdr:row>
      <xdr:rowOff>228600</xdr:rowOff>
    </xdr:to>
    <xdr:sp macro="" textlink="">
      <xdr:nvSpPr>
        <xdr:cNvPr id="1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54</xdr:row>
      <xdr:rowOff>161925</xdr:rowOff>
    </xdr:from>
    <xdr:to>
      <xdr:col>1</xdr:col>
      <xdr:colOff>523875</xdr:colOff>
      <xdr:row>54</xdr:row>
      <xdr:rowOff>161925</xdr:rowOff>
    </xdr:to>
    <xdr:cxnSp macro="">
      <xdr:nvCxnSpPr>
        <xdr:cNvPr id="1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54</xdr:row>
      <xdr:rowOff>161925</xdr:rowOff>
    </xdr:from>
    <xdr:to>
      <xdr:col>3</xdr:col>
      <xdr:colOff>1476375</xdr:colOff>
      <xdr:row>54</xdr:row>
      <xdr:rowOff>171450</xdr:rowOff>
    </xdr:to>
    <xdr:cxnSp macro="">
      <xdr:nvCxnSpPr>
        <xdr:cNvPr id="1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84</xdr:row>
      <xdr:rowOff>9524</xdr:rowOff>
    </xdr:from>
    <xdr:to>
      <xdr:col>4</xdr:col>
      <xdr:colOff>685800</xdr:colOff>
      <xdr:row>85</xdr:row>
      <xdr:rowOff>9524</xdr:rowOff>
    </xdr:to>
    <xdr:sp macro="" textlink="">
      <xdr:nvSpPr>
        <xdr:cNvPr id="1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84</xdr:row>
      <xdr:rowOff>104775</xdr:rowOff>
    </xdr:from>
    <xdr:to>
      <xdr:col>4</xdr:col>
      <xdr:colOff>552450</xdr:colOff>
      <xdr:row>84</xdr:row>
      <xdr:rowOff>200025</xdr:rowOff>
    </xdr:to>
    <xdr:sp macro="" textlink="">
      <xdr:nvSpPr>
        <xdr:cNvPr id="1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84</xdr:row>
      <xdr:rowOff>19050</xdr:rowOff>
    </xdr:from>
    <xdr:to>
      <xdr:col>5</xdr:col>
      <xdr:colOff>47625</xdr:colOff>
      <xdr:row>84</xdr:row>
      <xdr:rowOff>228600</xdr:rowOff>
    </xdr:to>
    <xdr:sp macro="" textlink="">
      <xdr:nvSpPr>
        <xdr:cNvPr id="1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83</xdr:row>
      <xdr:rowOff>161925</xdr:rowOff>
    </xdr:from>
    <xdr:to>
      <xdr:col>1</xdr:col>
      <xdr:colOff>523875</xdr:colOff>
      <xdr:row>83</xdr:row>
      <xdr:rowOff>161925</xdr:rowOff>
    </xdr:to>
    <xdr:cxnSp macro="">
      <xdr:nvCxnSpPr>
        <xdr:cNvPr id="2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83</xdr:row>
      <xdr:rowOff>161925</xdr:rowOff>
    </xdr:from>
    <xdr:to>
      <xdr:col>3</xdr:col>
      <xdr:colOff>1476375</xdr:colOff>
      <xdr:row>83</xdr:row>
      <xdr:rowOff>171450</xdr:rowOff>
    </xdr:to>
    <xdr:cxnSp macro="">
      <xdr:nvCxnSpPr>
        <xdr:cNvPr id="2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113</xdr:row>
      <xdr:rowOff>9524</xdr:rowOff>
    </xdr:from>
    <xdr:to>
      <xdr:col>4</xdr:col>
      <xdr:colOff>685800</xdr:colOff>
      <xdr:row>114</xdr:row>
      <xdr:rowOff>9524</xdr:rowOff>
    </xdr:to>
    <xdr:sp macro="" textlink="">
      <xdr:nvSpPr>
        <xdr:cNvPr id="2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113</xdr:row>
      <xdr:rowOff>104775</xdr:rowOff>
    </xdr:from>
    <xdr:to>
      <xdr:col>4</xdr:col>
      <xdr:colOff>552450</xdr:colOff>
      <xdr:row>113</xdr:row>
      <xdr:rowOff>200025</xdr:rowOff>
    </xdr:to>
    <xdr:sp macro="" textlink="">
      <xdr:nvSpPr>
        <xdr:cNvPr id="2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113</xdr:row>
      <xdr:rowOff>19050</xdr:rowOff>
    </xdr:from>
    <xdr:to>
      <xdr:col>5</xdr:col>
      <xdr:colOff>47625</xdr:colOff>
      <xdr:row>113</xdr:row>
      <xdr:rowOff>228600</xdr:rowOff>
    </xdr:to>
    <xdr:sp macro="" textlink="">
      <xdr:nvSpPr>
        <xdr:cNvPr id="2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112</xdr:row>
      <xdr:rowOff>161925</xdr:rowOff>
    </xdr:from>
    <xdr:to>
      <xdr:col>1</xdr:col>
      <xdr:colOff>523875</xdr:colOff>
      <xdr:row>112</xdr:row>
      <xdr:rowOff>161925</xdr:rowOff>
    </xdr:to>
    <xdr:cxnSp macro="">
      <xdr:nvCxnSpPr>
        <xdr:cNvPr id="2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112</xdr:row>
      <xdr:rowOff>161925</xdr:rowOff>
    </xdr:from>
    <xdr:to>
      <xdr:col>3</xdr:col>
      <xdr:colOff>1476375</xdr:colOff>
      <xdr:row>112</xdr:row>
      <xdr:rowOff>171450</xdr:rowOff>
    </xdr:to>
    <xdr:cxnSp macro="">
      <xdr:nvCxnSpPr>
        <xdr:cNvPr id="2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142</xdr:row>
      <xdr:rowOff>9524</xdr:rowOff>
    </xdr:from>
    <xdr:to>
      <xdr:col>4</xdr:col>
      <xdr:colOff>685800</xdr:colOff>
      <xdr:row>143</xdr:row>
      <xdr:rowOff>9524</xdr:rowOff>
    </xdr:to>
    <xdr:sp macro="" textlink="">
      <xdr:nvSpPr>
        <xdr:cNvPr id="2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142</xdr:row>
      <xdr:rowOff>104775</xdr:rowOff>
    </xdr:from>
    <xdr:to>
      <xdr:col>4</xdr:col>
      <xdr:colOff>552450</xdr:colOff>
      <xdr:row>142</xdr:row>
      <xdr:rowOff>200025</xdr:rowOff>
    </xdr:to>
    <xdr:sp macro="" textlink="">
      <xdr:nvSpPr>
        <xdr:cNvPr id="2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142</xdr:row>
      <xdr:rowOff>19050</xdr:rowOff>
    </xdr:from>
    <xdr:to>
      <xdr:col>5</xdr:col>
      <xdr:colOff>47625</xdr:colOff>
      <xdr:row>142</xdr:row>
      <xdr:rowOff>228600</xdr:rowOff>
    </xdr:to>
    <xdr:sp macro="" textlink="">
      <xdr:nvSpPr>
        <xdr:cNvPr id="2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141</xdr:row>
      <xdr:rowOff>161925</xdr:rowOff>
    </xdr:from>
    <xdr:to>
      <xdr:col>1</xdr:col>
      <xdr:colOff>523875</xdr:colOff>
      <xdr:row>141</xdr:row>
      <xdr:rowOff>161925</xdr:rowOff>
    </xdr:to>
    <xdr:cxnSp macro="">
      <xdr:nvCxnSpPr>
        <xdr:cNvPr id="3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141</xdr:row>
      <xdr:rowOff>161925</xdr:rowOff>
    </xdr:from>
    <xdr:to>
      <xdr:col>3</xdr:col>
      <xdr:colOff>1476375</xdr:colOff>
      <xdr:row>141</xdr:row>
      <xdr:rowOff>171450</xdr:rowOff>
    </xdr:to>
    <xdr:cxnSp macro="">
      <xdr:nvCxnSpPr>
        <xdr:cNvPr id="3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171</xdr:row>
      <xdr:rowOff>9524</xdr:rowOff>
    </xdr:from>
    <xdr:to>
      <xdr:col>4</xdr:col>
      <xdr:colOff>685800</xdr:colOff>
      <xdr:row>172</xdr:row>
      <xdr:rowOff>9524</xdr:rowOff>
    </xdr:to>
    <xdr:sp macro="" textlink="">
      <xdr:nvSpPr>
        <xdr:cNvPr id="3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171</xdr:row>
      <xdr:rowOff>104775</xdr:rowOff>
    </xdr:from>
    <xdr:to>
      <xdr:col>4</xdr:col>
      <xdr:colOff>552450</xdr:colOff>
      <xdr:row>171</xdr:row>
      <xdr:rowOff>200025</xdr:rowOff>
    </xdr:to>
    <xdr:sp macro="" textlink="">
      <xdr:nvSpPr>
        <xdr:cNvPr id="3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171</xdr:row>
      <xdr:rowOff>19050</xdr:rowOff>
    </xdr:from>
    <xdr:to>
      <xdr:col>5</xdr:col>
      <xdr:colOff>47625</xdr:colOff>
      <xdr:row>171</xdr:row>
      <xdr:rowOff>228600</xdr:rowOff>
    </xdr:to>
    <xdr:sp macro="" textlink="">
      <xdr:nvSpPr>
        <xdr:cNvPr id="3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170</xdr:row>
      <xdr:rowOff>161925</xdr:rowOff>
    </xdr:from>
    <xdr:to>
      <xdr:col>1</xdr:col>
      <xdr:colOff>523875</xdr:colOff>
      <xdr:row>170</xdr:row>
      <xdr:rowOff>161925</xdr:rowOff>
    </xdr:to>
    <xdr:cxnSp macro="">
      <xdr:nvCxnSpPr>
        <xdr:cNvPr id="3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170</xdr:row>
      <xdr:rowOff>161925</xdr:rowOff>
    </xdr:from>
    <xdr:to>
      <xdr:col>3</xdr:col>
      <xdr:colOff>1476375</xdr:colOff>
      <xdr:row>170</xdr:row>
      <xdr:rowOff>171450</xdr:rowOff>
    </xdr:to>
    <xdr:cxnSp macro="">
      <xdr:nvCxnSpPr>
        <xdr:cNvPr id="3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200</xdr:row>
      <xdr:rowOff>9524</xdr:rowOff>
    </xdr:from>
    <xdr:to>
      <xdr:col>4</xdr:col>
      <xdr:colOff>685800</xdr:colOff>
      <xdr:row>201</xdr:row>
      <xdr:rowOff>9524</xdr:rowOff>
    </xdr:to>
    <xdr:sp macro="" textlink="">
      <xdr:nvSpPr>
        <xdr:cNvPr id="3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200</xdr:row>
      <xdr:rowOff>104775</xdr:rowOff>
    </xdr:from>
    <xdr:to>
      <xdr:col>4</xdr:col>
      <xdr:colOff>552450</xdr:colOff>
      <xdr:row>200</xdr:row>
      <xdr:rowOff>200025</xdr:rowOff>
    </xdr:to>
    <xdr:sp macro="" textlink="">
      <xdr:nvSpPr>
        <xdr:cNvPr id="3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200</xdr:row>
      <xdr:rowOff>19050</xdr:rowOff>
    </xdr:from>
    <xdr:to>
      <xdr:col>5</xdr:col>
      <xdr:colOff>47625</xdr:colOff>
      <xdr:row>200</xdr:row>
      <xdr:rowOff>228600</xdr:rowOff>
    </xdr:to>
    <xdr:sp macro="" textlink="">
      <xdr:nvSpPr>
        <xdr:cNvPr id="3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199</xdr:row>
      <xdr:rowOff>161925</xdr:rowOff>
    </xdr:from>
    <xdr:to>
      <xdr:col>1</xdr:col>
      <xdr:colOff>523875</xdr:colOff>
      <xdr:row>199</xdr:row>
      <xdr:rowOff>161925</xdr:rowOff>
    </xdr:to>
    <xdr:cxnSp macro="">
      <xdr:nvCxnSpPr>
        <xdr:cNvPr id="4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199</xdr:row>
      <xdr:rowOff>161925</xdr:rowOff>
    </xdr:from>
    <xdr:to>
      <xdr:col>3</xdr:col>
      <xdr:colOff>1476375</xdr:colOff>
      <xdr:row>199</xdr:row>
      <xdr:rowOff>171450</xdr:rowOff>
    </xdr:to>
    <xdr:cxnSp macro="">
      <xdr:nvCxnSpPr>
        <xdr:cNvPr id="4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26</xdr:row>
      <xdr:rowOff>9524</xdr:rowOff>
    </xdr:from>
    <xdr:to>
      <xdr:col>15</xdr:col>
      <xdr:colOff>685800</xdr:colOff>
      <xdr:row>27</xdr:row>
      <xdr:rowOff>9524</xdr:rowOff>
    </xdr:to>
    <xdr:sp macro="" textlink="">
      <xdr:nvSpPr>
        <xdr:cNvPr id="4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26</xdr:row>
      <xdr:rowOff>104775</xdr:rowOff>
    </xdr:from>
    <xdr:to>
      <xdr:col>15</xdr:col>
      <xdr:colOff>552450</xdr:colOff>
      <xdr:row>26</xdr:row>
      <xdr:rowOff>200025</xdr:rowOff>
    </xdr:to>
    <xdr:sp macro="" textlink="">
      <xdr:nvSpPr>
        <xdr:cNvPr id="4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26</xdr:row>
      <xdr:rowOff>19050</xdr:rowOff>
    </xdr:from>
    <xdr:to>
      <xdr:col>16</xdr:col>
      <xdr:colOff>47625</xdr:colOff>
      <xdr:row>26</xdr:row>
      <xdr:rowOff>228600</xdr:rowOff>
    </xdr:to>
    <xdr:sp macro="" textlink="">
      <xdr:nvSpPr>
        <xdr:cNvPr id="4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25</xdr:row>
      <xdr:rowOff>161925</xdr:rowOff>
    </xdr:from>
    <xdr:to>
      <xdr:col>12</xdr:col>
      <xdr:colOff>523875</xdr:colOff>
      <xdr:row>25</xdr:row>
      <xdr:rowOff>161925</xdr:rowOff>
    </xdr:to>
    <xdr:cxnSp macro="">
      <xdr:nvCxnSpPr>
        <xdr:cNvPr id="4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25</xdr:row>
      <xdr:rowOff>161925</xdr:rowOff>
    </xdr:from>
    <xdr:to>
      <xdr:col>14</xdr:col>
      <xdr:colOff>1476375</xdr:colOff>
      <xdr:row>25</xdr:row>
      <xdr:rowOff>171450</xdr:rowOff>
    </xdr:to>
    <xdr:cxnSp macro="">
      <xdr:nvCxnSpPr>
        <xdr:cNvPr id="4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55</xdr:row>
      <xdr:rowOff>9524</xdr:rowOff>
    </xdr:from>
    <xdr:to>
      <xdr:col>15</xdr:col>
      <xdr:colOff>685800</xdr:colOff>
      <xdr:row>56</xdr:row>
      <xdr:rowOff>9524</xdr:rowOff>
    </xdr:to>
    <xdr:sp macro="" textlink="">
      <xdr:nvSpPr>
        <xdr:cNvPr id="4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55</xdr:row>
      <xdr:rowOff>104775</xdr:rowOff>
    </xdr:from>
    <xdr:to>
      <xdr:col>15</xdr:col>
      <xdr:colOff>552450</xdr:colOff>
      <xdr:row>55</xdr:row>
      <xdr:rowOff>200025</xdr:rowOff>
    </xdr:to>
    <xdr:sp macro="" textlink="">
      <xdr:nvSpPr>
        <xdr:cNvPr id="4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55</xdr:row>
      <xdr:rowOff>19050</xdr:rowOff>
    </xdr:from>
    <xdr:to>
      <xdr:col>16</xdr:col>
      <xdr:colOff>47625</xdr:colOff>
      <xdr:row>55</xdr:row>
      <xdr:rowOff>228600</xdr:rowOff>
    </xdr:to>
    <xdr:sp macro="" textlink="">
      <xdr:nvSpPr>
        <xdr:cNvPr id="4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54</xdr:row>
      <xdr:rowOff>161925</xdr:rowOff>
    </xdr:from>
    <xdr:to>
      <xdr:col>12</xdr:col>
      <xdr:colOff>523875</xdr:colOff>
      <xdr:row>54</xdr:row>
      <xdr:rowOff>161925</xdr:rowOff>
    </xdr:to>
    <xdr:cxnSp macro="">
      <xdr:nvCxnSpPr>
        <xdr:cNvPr id="5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54</xdr:row>
      <xdr:rowOff>161925</xdr:rowOff>
    </xdr:from>
    <xdr:to>
      <xdr:col>14</xdr:col>
      <xdr:colOff>1476375</xdr:colOff>
      <xdr:row>54</xdr:row>
      <xdr:rowOff>171450</xdr:rowOff>
    </xdr:to>
    <xdr:cxnSp macro="">
      <xdr:nvCxnSpPr>
        <xdr:cNvPr id="5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84</xdr:row>
      <xdr:rowOff>9524</xdr:rowOff>
    </xdr:from>
    <xdr:to>
      <xdr:col>15</xdr:col>
      <xdr:colOff>685800</xdr:colOff>
      <xdr:row>85</xdr:row>
      <xdr:rowOff>9524</xdr:rowOff>
    </xdr:to>
    <xdr:sp macro="" textlink="">
      <xdr:nvSpPr>
        <xdr:cNvPr id="5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84</xdr:row>
      <xdr:rowOff>104775</xdr:rowOff>
    </xdr:from>
    <xdr:to>
      <xdr:col>15</xdr:col>
      <xdr:colOff>552450</xdr:colOff>
      <xdr:row>84</xdr:row>
      <xdr:rowOff>200025</xdr:rowOff>
    </xdr:to>
    <xdr:sp macro="" textlink="">
      <xdr:nvSpPr>
        <xdr:cNvPr id="5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84</xdr:row>
      <xdr:rowOff>19050</xdr:rowOff>
    </xdr:from>
    <xdr:to>
      <xdr:col>16</xdr:col>
      <xdr:colOff>47625</xdr:colOff>
      <xdr:row>84</xdr:row>
      <xdr:rowOff>228600</xdr:rowOff>
    </xdr:to>
    <xdr:sp macro="" textlink="">
      <xdr:nvSpPr>
        <xdr:cNvPr id="5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83</xdr:row>
      <xdr:rowOff>161925</xdr:rowOff>
    </xdr:from>
    <xdr:to>
      <xdr:col>12</xdr:col>
      <xdr:colOff>523875</xdr:colOff>
      <xdr:row>83</xdr:row>
      <xdr:rowOff>161925</xdr:rowOff>
    </xdr:to>
    <xdr:cxnSp macro="">
      <xdr:nvCxnSpPr>
        <xdr:cNvPr id="5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83</xdr:row>
      <xdr:rowOff>161925</xdr:rowOff>
    </xdr:from>
    <xdr:to>
      <xdr:col>14</xdr:col>
      <xdr:colOff>1476375</xdr:colOff>
      <xdr:row>83</xdr:row>
      <xdr:rowOff>171450</xdr:rowOff>
    </xdr:to>
    <xdr:cxnSp macro="">
      <xdr:nvCxnSpPr>
        <xdr:cNvPr id="5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113</xdr:row>
      <xdr:rowOff>9524</xdr:rowOff>
    </xdr:from>
    <xdr:to>
      <xdr:col>15</xdr:col>
      <xdr:colOff>685800</xdr:colOff>
      <xdr:row>114</xdr:row>
      <xdr:rowOff>9524</xdr:rowOff>
    </xdr:to>
    <xdr:sp macro="" textlink="">
      <xdr:nvSpPr>
        <xdr:cNvPr id="5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113</xdr:row>
      <xdr:rowOff>104775</xdr:rowOff>
    </xdr:from>
    <xdr:to>
      <xdr:col>15</xdr:col>
      <xdr:colOff>552450</xdr:colOff>
      <xdr:row>113</xdr:row>
      <xdr:rowOff>200025</xdr:rowOff>
    </xdr:to>
    <xdr:sp macro="" textlink="">
      <xdr:nvSpPr>
        <xdr:cNvPr id="5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113</xdr:row>
      <xdr:rowOff>19050</xdr:rowOff>
    </xdr:from>
    <xdr:to>
      <xdr:col>16</xdr:col>
      <xdr:colOff>47625</xdr:colOff>
      <xdr:row>113</xdr:row>
      <xdr:rowOff>228600</xdr:rowOff>
    </xdr:to>
    <xdr:sp macro="" textlink="">
      <xdr:nvSpPr>
        <xdr:cNvPr id="5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112</xdr:row>
      <xdr:rowOff>161925</xdr:rowOff>
    </xdr:from>
    <xdr:to>
      <xdr:col>12</xdr:col>
      <xdr:colOff>523875</xdr:colOff>
      <xdr:row>112</xdr:row>
      <xdr:rowOff>161925</xdr:rowOff>
    </xdr:to>
    <xdr:cxnSp macro="">
      <xdr:nvCxnSpPr>
        <xdr:cNvPr id="6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112</xdr:row>
      <xdr:rowOff>161925</xdr:rowOff>
    </xdr:from>
    <xdr:to>
      <xdr:col>14</xdr:col>
      <xdr:colOff>1476375</xdr:colOff>
      <xdr:row>112</xdr:row>
      <xdr:rowOff>171450</xdr:rowOff>
    </xdr:to>
    <xdr:cxnSp macro="">
      <xdr:nvCxnSpPr>
        <xdr:cNvPr id="6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142</xdr:row>
      <xdr:rowOff>9524</xdr:rowOff>
    </xdr:from>
    <xdr:to>
      <xdr:col>15</xdr:col>
      <xdr:colOff>685800</xdr:colOff>
      <xdr:row>143</xdr:row>
      <xdr:rowOff>9524</xdr:rowOff>
    </xdr:to>
    <xdr:sp macro="" textlink="">
      <xdr:nvSpPr>
        <xdr:cNvPr id="6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142</xdr:row>
      <xdr:rowOff>104775</xdr:rowOff>
    </xdr:from>
    <xdr:to>
      <xdr:col>15</xdr:col>
      <xdr:colOff>552450</xdr:colOff>
      <xdr:row>142</xdr:row>
      <xdr:rowOff>200025</xdr:rowOff>
    </xdr:to>
    <xdr:sp macro="" textlink="">
      <xdr:nvSpPr>
        <xdr:cNvPr id="6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142</xdr:row>
      <xdr:rowOff>19050</xdr:rowOff>
    </xdr:from>
    <xdr:to>
      <xdr:col>16</xdr:col>
      <xdr:colOff>47625</xdr:colOff>
      <xdr:row>142</xdr:row>
      <xdr:rowOff>228600</xdr:rowOff>
    </xdr:to>
    <xdr:sp macro="" textlink="">
      <xdr:nvSpPr>
        <xdr:cNvPr id="6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141</xdr:row>
      <xdr:rowOff>161925</xdr:rowOff>
    </xdr:from>
    <xdr:to>
      <xdr:col>12</xdr:col>
      <xdr:colOff>523875</xdr:colOff>
      <xdr:row>141</xdr:row>
      <xdr:rowOff>161925</xdr:rowOff>
    </xdr:to>
    <xdr:cxnSp macro="">
      <xdr:nvCxnSpPr>
        <xdr:cNvPr id="6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141</xdr:row>
      <xdr:rowOff>161925</xdr:rowOff>
    </xdr:from>
    <xdr:to>
      <xdr:col>14</xdr:col>
      <xdr:colOff>1476375</xdr:colOff>
      <xdr:row>141</xdr:row>
      <xdr:rowOff>171450</xdr:rowOff>
    </xdr:to>
    <xdr:cxnSp macro="">
      <xdr:nvCxnSpPr>
        <xdr:cNvPr id="6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171</xdr:row>
      <xdr:rowOff>9524</xdr:rowOff>
    </xdr:from>
    <xdr:to>
      <xdr:col>15</xdr:col>
      <xdr:colOff>685800</xdr:colOff>
      <xdr:row>172</xdr:row>
      <xdr:rowOff>9524</xdr:rowOff>
    </xdr:to>
    <xdr:sp macro="" textlink="">
      <xdr:nvSpPr>
        <xdr:cNvPr id="6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171</xdr:row>
      <xdr:rowOff>104775</xdr:rowOff>
    </xdr:from>
    <xdr:to>
      <xdr:col>15</xdr:col>
      <xdr:colOff>552450</xdr:colOff>
      <xdr:row>171</xdr:row>
      <xdr:rowOff>200025</xdr:rowOff>
    </xdr:to>
    <xdr:sp macro="" textlink="">
      <xdr:nvSpPr>
        <xdr:cNvPr id="6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171</xdr:row>
      <xdr:rowOff>19050</xdr:rowOff>
    </xdr:from>
    <xdr:to>
      <xdr:col>16</xdr:col>
      <xdr:colOff>47625</xdr:colOff>
      <xdr:row>171</xdr:row>
      <xdr:rowOff>228600</xdr:rowOff>
    </xdr:to>
    <xdr:sp macro="" textlink="">
      <xdr:nvSpPr>
        <xdr:cNvPr id="6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170</xdr:row>
      <xdr:rowOff>161925</xdr:rowOff>
    </xdr:from>
    <xdr:to>
      <xdr:col>12</xdr:col>
      <xdr:colOff>523875</xdr:colOff>
      <xdr:row>170</xdr:row>
      <xdr:rowOff>161925</xdr:rowOff>
    </xdr:to>
    <xdr:cxnSp macro="">
      <xdr:nvCxnSpPr>
        <xdr:cNvPr id="7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170</xdr:row>
      <xdr:rowOff>161925</xdr:rowOff>
    </xdr:from>
    <xdr:to>
      <xdr:col>14</xdr:col>
      <xdr:colOff>1476375</xdr:colOff>
      <xdr:row>170</xdr:row>
      <xdr:rowOff>171450</xdr:rowOff>
    </xdr:to>
    <xdr:cxnSp macro="">
      <xdr:nvCxnSpPr>
        <xdr:cNvPr id="7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200</xdr:row>
      <xdr:rowOff>9524</xdr:rowOff>
    </xdr:from>
    <xdr:to>
      <xdr:col>15</xdr:col>
      <xdr:colOff>685800</xdr:colOff>
      <xdr:row>201</xdr:row>
      <xdr:rowOff>9524</xdr:rowOff>
    </xdr:to>
    <xdr:sp macro="" textlink="">
      <xdr:nvSpPr>
        <xdr:cNvPr id="7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200</xdr:row>
      <xdr:rowOff>104775</xdr:rowOff>
    </xdr:from>
    <xdr:to>
      <xdr:col>15</xdr:col>
      <xdr:colOff>552450</xdr:colOff>
      <xdr:row>200</xdr:row>
      <xdr:rowOff>200025</xdr:rowOff>
    </xdr:to>
    <xdr:sp macro="" textlink="">
      <xdr:nvSpPr>
        <xdr:cNvPr id="7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200</xdr:row>
      <xdr:rowOff>19050</xdr:rowOff>
    </xdr:from>
    <xdr:to>
      <xdr:col>16</xdr:col>
      <xdr:colOff>47625</xdr:colOff>
      <xdr:row>200</xdr:row>
      <xdr:rowOff>228600</xdr:rowOff>
    </xdr:to>
    <xdr:sp macro="" textlink="">
      <xdr:nvSpPr>
        <xdr:cNvPr id="7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199</xdr:row>
      <xdr:rowOff>161925</xdr:rowOff>
    </xdr:from>
    <xdr:to>
      <xdr:col>12</xdr:col>
      <xdr:colOff>523875</xdr:colOff>
      <xdr:row>199</xdr:row>
      <xdr:rowOff>161925</xdr:rowOff>
    </xdr:to>
    <xdr:cxnSp macro="">
      <xdr:nvCxnSpPr>
        <xdr:cNvPr id="7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199</xdr:row>
      <xdr:rowOff>161925</xdr:rowOff>
    </xdr:from>
    <xdr:to>
      <xdr:col>14</xdr:col>
      <xdr:colOff>1476375</xdr:colOff>
      <xdr:row>199</xdr:row>
      <xdr:rowOff>171450</xdr:rowOff>
    </xdr:to>
    <xdr:cxnSp macro="">
      <xdr:nvCxnSpPr>
        <xdr:cNvPr id="7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229</xdr:row>
      <xdr:rowOff>9524</xdr:rowOff>
    </xdr:from>
    <xdr:to>
      <xdr:col>4</xdr:col>
      <xdr:colOff>685800</xdr:colOff>
      <xdr:row>230</xdr:row>
      <xdr:rowOff>9524</xdr:rowOff>
    </xdr:to>
    <xdr:sp macro="" textlink="">
      <xdr:nvSpPr>
        <xdr:cNvPr id="7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229</xdr:row>
      <xdr:rowOff>104775</xdr:rowOff>
    </xdr:from>
    <xdr:to>
      <xdr:col>4</xdr:col>
      <xdr:colOff>552450</xdr:colOff>
      <xdr:row>229</xdr:row>
      <xdr:rowOff>200025</xdr:rowOff>
    </xdr:to>
    <xdr:sp macro="" textlink="">
      <xdr:nvSpPr>
        <xdr:cNvPr id="7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229</xdr:row>
      <xdr:rowOff>19050</xdr:rowOff>
    </xdr:from>
    <xdr:to>
      <xdr:col>5</xdr:col>
      <xdr:colOff>47625</xdr:colOff>
      <xdr:row>229</xdr:row>
      <xdr:rowOff>228600</xdr:rowOff>
    </xdr:to>
    <xdr:sp macro="" textlink="">
      <xdr:nvSpPr>
        <xdr:cNvPr id="7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228</xdr:row>
      <xdr:rowOff>161925</xdr:rowOff>
    </xdr:from>
    <xdr:to>
      <xdr:col>1</xdr:col>
      <xdr:colOff>523875</xdr:colOff>
      <xdr:row>228</xdr:row>
      <xdr:rowOff>161925</xdr:rowOff>
    </xdr:to>
    <xdr:cxnSp macro="">
      <xdr:nvCxnSpPr>
        <xdr:cNvPr id="8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228</xdr:row>
      <xdr:rowOff>161925</xdr:rowOff>
    </xdr:from>
    <xdr:to>
      <xdr:col>3</xdr:col>
      <xdr:colOff>1476375</xdr:colOff>
      <xdr:row>228</xdr:row>
      <xdr:rowOff>171450</xdr:rowOff>
    </xdr:to>
    <xdr:cxnSp macro="">
      <xdr:nvCxnSpPr>
        <xdr:cNvPr id="8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229</xdr:row>
      <xdr:rowOff>9524</xdr:rowOff>
    </xdr:from>
    <xdr:to>
      <xdr:col>15</xdr:col>
      <xdr:colOff>685800</xdr:colOff>
      <xdr:row>230</xdr:row>
      <xdr:rowOff>9524</xdr:rowOff>
    </xdr:to>
    <xdr:sp macro="" textlink="">
      <xdr:nvSpPr>
        <xdr:cNvPr id="8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229</xdr:row>
      <xdr:rowOff>104775</xdr:rowOff>
    </xdr:from>
    <xdr:to>
      <xdr:col>15</xdr:col>
      <xdr:colOff>552450</xdr:colOff>
      <xdr:row>229</xdr:row>
      <xdr:rowOff>200025</xdr:rowOff>
    </xdr:to>
    <xdr:sp macro="" textlink="">
      <xdr:nvSpPr>
        <xdr:cNvPr id="8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229</xdr:row>
      <xdr:rowOff>19050</xdr:rowOff>
    </xdr:from>
    <xdr:to>
      <xdr:col>16</xdr:col>
      <xdr:colOff>47625</xdr:colOff>
      <xdr:row>229</xdr:row>
      <xdr:rowOff>228600</xdr:rowOff>
    </xdr:to>
    <xdr:sp macro="" textlink="">
      <xdr:nvSpPr>
        <xdr:cNvPr id="8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228</xdr:row>
      <xdr:rowOff>161925</xdr:rowOff>
    </xdr:from>
    <xdr:to>
      <xdr:col>12</xdr:col>
      <xdr:colOff>523875</xdr:colOff>
      <xdr:row>228</xdr:row>
      <xdr:rowOff>161925</xdr:rowOff>
    </xdr:to>
    <xdr:cxnSp macro="">
      <xdr:nvCxnSpPr>
        <xdr:cNvPr id="8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228</xdr:row>
      <xdr:rowOff>161925</xdr:rowOff>
    </xdr:from>
    <xdr:to>
      <xdr:col>14</xdr:col>
      <xdr:colOff>1476375</xdr:colOff>
      <xdr:row>228</xdr:row>
      <xdr:rowOff>171450</xdr:rowOff>
    </xdr:to>
    <xdr:cxnSp macro="">
      <xdr:nvCxnSpPr>
        <xdr:cNvPr id="8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26</xdr:row>
      <xdr:rowOff>9524</xdr:rowOff>
    </xdr:from>
    <xdr:to>
      <xdr:col>26</xdr:col>
      <xdr:colOff>685800</xdr:colOff>
      <xdr:row>27</xdr:row>
      <xdr:rowOff>9524</xdr:rowOff>
    </xdr:to>
    <xdr:sp macro="" textlink="">
      <xdr:nvSpPr>
        <xdr:cNvPr id="8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26</xdr:row>
      <xdr:rowOff>104775</xdr:rowOff>
    </xdr:from>
    <xdr:to>
      <xdr:col>26</xdr:col>
      <xdr:colOff>552450</xdr:colOff>
      <xdr:row>26</xdr:row>
      <xdr:rowOff>200025</xdr:rowOff>
    </xdr:to>
    <xdr:sp macro="" textlink="">
      <xdr:nvSpPr>
        <xdr:cNvPr id="8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26</xdr:row>
      <xdr:rowOff>19050</xdr:rowOff>
    </xdr:from>
    <xdr:to>
      <xdr:col>27</xdr:col>
      <xdr:colOff>47625</xdr:colOff>
      <xdr:row>26</xdr:row>
      <xdr:rowOff>228600</xdr:rowOff>
    </xdr:to>
    <xdr:sp macro="" textlink="">
      <xdr:nvSpPr>
        <xdr:cNvPr id="8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25</xdr:row>
      <xdr:rowOff>161925</xdr:rowOff>
    </xdr:from>
    <xdr:to>
      <xdr:col>23</xdr:col>
      <xdr:colOff>523875</xdr:colOff>
      <xdr:row>25</xdr:row>
      <xdr:rowOff>161925</xdr:rowOff>
    </xdr:to>
    <xdr:cxnSp macro="">
      <xdr:nvCxnSpPr>
        <xdr:cNvPr id="9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25</xdr:row>
      <xdr:rowOff>161925</xdr:rowOff>
    </xdr:from>
    <xdr:to>
      <xdr:col>25</xdr:col>
      <xdr:colOff>1476375</xdr:colOff>
      <xdr:row>25</xdr:row>
      <xdr:rowOff>171450</xdr:rowOff>
    </xdr:to>
    <xdr:cxnSp macro="">
      <xdr:nvCxnSpPr>
        <xdr:cNvPr id="9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55</xdr:row>
      <xdr:rowOff>9524</xdr:rowOff>
    </xdr:from>
    <xdr:to>
      <xdr:col>26</xdr:col>
      <xdr:colOff>685800</xdr:colOff>
      <xdr:row>56</xdr:row>
      <xdr:rowOff>9524</xdr:rowOff>
    </xdr:to>
    <xdr:sp macro="" textlink="">
      <xdr:nvSpPr>
        <xdr:cNvPr id="9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55</xdr:row>
      <xdr:rowOff>104775</xdr:rowOff>
    </xdr:from>
    <xdr:to>
      <xdr:col>26</xdr:col>
      <xdr:colOff>552450</xdr:colOff>
      <xdr:row>55</xdr:row>
      <xdr:rowOff>200025</xdr:rowOff>
    </xdr:to>
    <xdr:sp macro="" textlink="">
      <xdr:nvSpPr>
        <xdr:cNvPr id="9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55</xdr:row>
      <xdr:rowOff>19050</xdr:rowOff>
    </xdr:from>
    <xdr:to>
      <xdr:col>27</xdr:col>
      <xdr:colOff>47625</xdr:colOff>
      <xdr:row>55</xdr:row>
      <xdr:rowOff>228600</xdr:rowOff>
    </xdr:to>
    <xdr:sp macro="" textlink="">
      <xdr:nvSpPr>
        <xdr:cNvPr id="9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54</xdr:row>
      <xdr:rowOff>161925</xdr:rowOff>
    </xdr:from>
    <xdr:to>
      <xdr:col>23</xdr:col>
      <xdr:colOff>523875</xdr:colOff>
      <xdr:row>54</xdr:row>
      <xdr:rowOff>161925</xdr:rowOff>
    </xdr:to>
    <xdr:cxnSp macro="">
      <xdr:nvCxnSpPr>
        <xdr:cNvPr id="9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54</xdr:row>
      <xdr:rowOff>161925</xdr:rowOff>
    </xdr:from>
    <xdr:to>
      <xdr:col>25</xdr:col>
      <xdr:colOff>1476375</xdr:colOff>
      <xdr:row>54</xdr:row>
      <xdr:rowOff>171450</xdr:rowOff>
    </xdr:to>
    <xdr:cxnSp macro="">
      <xdr:nvCxnSpPr>
        <xdr:cNvPr id="9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84</xdr:row>
      <xdr:rowOff>9524</xdr:rowOff>
    </xdr:from>
    <xdr:to>
      <xdr:col>26</xdr:col>
      <xdr:colOff>685800</xdr:colOff>
      <xdr:row>85</xdr:row>
      <xdr:rowOff>9524</xdr:rowOff>
    </xdr:to>
    <xdr:sp macro="" textlink="">
      <xdr:nvSpPr>
        <xdr:cNvPr id="9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84</xdr:row>
      <xdr:rowOff>104775</xdr:rowOff>
    </xdr:from>
    <xdr:to>
      <xdr:col>26</xdr:col>
      <xdr:colOff>552450</xdr:colOff>
      <xdr:row>84</xdr:row>
      <xdr:rowOff>200025</xdr:rowOff>
    </xdr:to>
    <xdr:sp macro="" textlink="">
      <xdr:nvSpPr>
        <xdr:cNvPr id="9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84</xdr:row>
      <xdr:rowOff>19050</xdr:rowOff>
    </xdr:from>
    <xdr:to>
      <xdr:col>27</xdr:col>
      <xdr:colOff>47625</xdr:colOff>
      <xdr:row>84</xdr:row>
      <xdr:rowOff>228600</xdr:rowOff>
    </xdr:to>
    <xdr:sp macro="" textlink="">
      <xdr:nvSpPr>
        <xdr:cNvPr id="9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83</xdr:row>
      <xdr:rowOff>161925</xdr:rowOff>
    </xdr:from>
    <xdr:to>
      <xdr:col>23</xdr:col>
      <xdr:colOff>523875</xdr:colOff>
      <xdr:row>83</xdr:row>
      <xdr:rowOff>161925</xdr:rowOff>
    </xdr:to>
    <xdr:cxnSp macro="">
      <xdr:nvCxnSpPr>
        <xdr:cNvPr id="10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83</xdr:row>
      <xdr:rowOff>161925</xdr:rowOff>
    </xdr:from>
    <xdr:to>
      <xdr:col>25</xdr:col>
      <xdr:colOff>1476375</xdr:colOff>
      <xdr:row>83</xdr:row>
      <xdr:rowOff>171450</xdr:rowOff>
    </xdr:to>
    <xdr:cxnSp macro="">
      <xdr:nvCxnSpPr>
        <xdr:cNvPr id="10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113</xdr:row>
      <xdr:rowOff>9524</xdr:rowOff>
    </xdr:from>
    <xdr:to>
      <xdr:col>26</xdr:col>
      <xdr:colOff>685800</xdr:colOff>
      <xdr:row>114</xdr:row>
      <xdr:rowOff>9524</xdr:rowOff>
    </xdr:to>
    <xdr:sp macro="" textlink="">
      <xdr:nvSpPr>
        <xdr:cNvPr id="10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113</xdr:row>
      <xdr:rowOff>104775</xdr:rowOff>
    </xdr:from>
    <xdr:to>
      <xdr:col>26</xdr:col>
      <xdr:colOff>552450</xdr:colOff>
      <xdr:row>113</xdr:row>
      <xdr:rowOff>200025</xdr:rowOff>
    </xdr:to>
    <xdr:sp macro="" textlink="">
      <xdr:nvSpPr>
        <xdr:cNvPr id="10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113</xdr:row>
      <xdr:rowOff>19050</xdr:rowOff>
    </xdr:from>
    <xdr:to>
      <xdr:col>27</xdr:col>
      <xdr:colOff>47625</xdr:colOff>
      <xdr:row>113</xdr:row>
      <xdr:rowOff>228600</xdr:rowOff>
    </xdr:to>
    <xdr:sp macro="" textlink="">
      <xdr:nvSpPr>
        <xdr:cNvPr id="10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112</xdr:row>
      <xdr:rowOff>161925</xdr:rowOff>
    </xdr:from>
    <xdr:to>
      <xdr:col>23</xdr:col>
      <xdr:colOff>523875</xdr:colOff>
      <xdr:row>112</xdr:row>
      <xdr:rowOff>161925</xdr:rowOff>
    </xdr:to>
    <xdr:cxnSp macro="">
      <xdr:nvCxnSpPr>
        <xdr:cNvPr id="10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112</xdr:row>
      <xdr:rowOff>161925</xdr:rowOff>
    </xdr:from>
    <xdr:to>
      <xdr:col>25</xdr:col>
      <xdr:colOff>1476375</xdr:colOff>
      <xdr:row>112</xdr:row>
      <xdr:rowOff>171450</xdr:rowOff>
    </xdr:to>
    <xdr:cxnSp macro="">
      <xdr:nvCxnSpPr>
        <xdr:cNvPr id="10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142</xdr:row>
      <xdr:rowOff>9524</xdr:rowOff>
    </xdr:from>
    <xdr:to>
      <xdr:col>26</xdr:col>
      <xdr:colOff>685800</xdr:colOff>
      <xdr:row>143</xdr:row>
      <xdr:rowOff>9524</xdr:rowOff>
    </xdr:to>
    <xdr:sp macro="" textlink="">
      <xdr:nvSpPr>
        <xdr:cNvPr id="10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142</xdr:row>
      <xdr:rowOff>104775</xdr:rowOff>
    </xdr:from>
    <xdr:to>
      <xdr:col>26</xdr:col>
      <xdr:colOff>552450</xdr:colOff>
      <xdr:row>142</xdr:row>
      <xdr:rowOff>200025</xdr:rowOff>
    </xdr:to>
    <xdr:sp macro="" textlink="">
      <xdr:nvSpPr>
        <xdr:cNvPr id="10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142</xdr:row>
      <xdr:rowOff>19050</xdr:rowOff>
    </xdr:from>
    <xdr:to>
      <xdr:col>27</xdr:col>
      <xdr:colOff>47625</xdr:colOff>
      <xdr:row>142</xdr:row>
      <xdr:rowOff>228600</xdr:rowOff>
    </xdr:to>
    <xdr:sp macro="" textlink="">
      <xdr:nvSpPr>
        <xdr:cNvPr id="10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141</xdr:row>
      <xdr:rowOff>161925</xdr:rowOff>
    </xdr:from>
    <xdr:to>
      <xdr:col>23</xdr:col>
      <xdr:colOff>523875</xdr:colOff>
      <xdr:row>141</xdr:row>
      <xdr:rowOff>161925</xdr:rowOff>
    </xdr:to>
    <xdr:cxnSp macro="">
      <xdr:nvCxnSpPr>
        <xdr:cNvPr id="11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141</xdr:row>
      <xdr:rowOff>161925</xdr:rowOff>
    </xdr:from>
    <xdr:to>
      <xdr:col>25</xdr:col>
      <xdr:colOff>1476375</xdr:colOff>
      <xdr:row>141</xdr:row>
      <xdr:rowOff>171450</xdr:rowOff>
    </xdr:to>
    <xdr:cxnSp macro="">
      <xdr:nvCxnSpPr>
        <xdr:cNvPr id="11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171</xdr:row>
      <xdr:rowOff>9524</xdr:rowOff>
    </xdr:from>
    <xdr:to>
      <xdr:col>26</xdr:col>
      <xdr:colOff>685800</xdr:colOff>
      <xdr:row>172</xdr:row>
      <xdr:rowOff>9524</xdr:rowOff>
    </xdr:to>
    <xdr:sp macro="" textlink="">
      <xdr:nvSpPr>
        <xdr:cNvPr id="11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171</xdr:row>
      <xdr:rowOff>104775</xdr:rowOff>
    </xdr:from>
    <xdr:to>
      <xdr:col>26</xdr:col>
      <xdr:colOff>552450</xdr:colOff>
      <xdr:row>171</xdr:row>
      <xdr:rowOff>200025</xdr:rowOff>
    </xdr:to>
    <xdr:sp macro="" textlink="">
      <xdr:nvSpPr>
        <xdr:cNvPr id="11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171</xdr:row>
      <xdr:rowOff>19050</xdr:rowOff>
    </xdr:from>
    <xdr:to>
      <xdr:col>27</xdr:col>
      <xdr:colOff>47625</xdr:colOff>
      <xdr:row>171</xdr:row>
      <xdr:rowOff>228600</xdr:rowOff>
    </xdr:to>
    <xdr:sp macro="" textlink="">
      <xdr:nvSpPr>
        <xdr:cNvPr id="11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170</xdr:row>
      <xdr:rowOff>161925</xdr:rowOff>
    </xdr:from>
    <xdr:to>
      <xdr:col>23</xdr:col>
      <xdr:colOff>523875</xdr:colOff>
      <xdr:row>170</xdr:row>
      <xdr:rowOff>161925</xdr:rowOff>
    </xdr:to>
    <xdr:cxnSp macro="">
      <xdr:nvCxnSpPr>
        <xdr:cNvPr id="11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170</xdr:row>
      <xdr:rowOff>161925</xdr:rowOff>
    </xdr:from>
    <xdr:to>
      <xdr:col>25</xdr:col>
      <xdr:colOff>1476375</xdr:colOff>
      <xdr:row>170</xdr:row>
      <xdr:rowOff>171450</xdr:rowOff>
    </xdr:to>
    <xdr:cxnSp macro="">
      <xdr:nvCxnSpPr>
        <xdr:cNvPr id="11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200</xdr:row>
      <xdr:rowOff>9524</xdr:rowOff>
    </xdr:from>
    <xdr:to>
      <xdr:col>26</xdr:col>
      <xdr:colOff>685800</xdr:colOff>
      <xdr:row>201</xdr:row>
      <xdr:rowOff>9524</xdr:rowOff>
    </xdr:to>
    <xdr:sp macro="" textlink="">
      <xdr:nvSpPr>
        <xdr:cNvPr id="11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200</xdr:row>
      <xdr:rowOff>104775</xdr:rowOff>
    </xdr:from>
    <xdr:to>
      <xdr:col>26</xdr:col>
      <xdr:colOff>552450</xdr:colOff>
      <xdr:row>200</xdr:row>
      <xdr:rowOff>200025</xdr:rowOff>
    </xdr:to>
    <xdr:sp macro="" textlink="">
      <xdr:nvSpPr>
        <xdr:cNvPr id="11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200</xdr:row>
      <xdr:rowOff>19050</xdr:rowOff>
    </xdr:from>
    <xdr:to>
      <xdr:col>27</xdr:col>
      <xdr:colOff>47625</xdr:colOff>
      <xdr:row>200</xdr:row>
      <xdr:rowOff>228600</xdr:rowOff>
    </xdr:to>
    <xdr:sp macro="" textlink="">
      <xdr:nvSpPr>
        <xdr:cNvPr id="11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199</xdr:row>
      <xdr:rowOff>161925</xdr:rowOff>
    </xdr:from>
    <xdr:to>
      <xdr:col>23</xdr:col>
      <xdr:colOff>523875</xdr:colOff>
      <xdr:row>199</xdr:row>
      <xdr:rowOff>161925</xdr:rowOff>
    </xdr:to>
    <xdr:cxnSp macro="">
      <xdr:nvCxnSpPr>
        <xdr:cNvPr id="12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199</xdr:row>
      <xdr:rowOff>161925</xdr:rowOff>
    </xdr:from>
    <xdr:to>
      <xdr:col>25</xdr:col>
      <xdr:colOff>1476375</xdr:colOff>
      <xdr:row>199</xdr:row>
      <xdr:rowOff>171450</xdr:rowOff>
    </xdr:to>
    <xdr:cxnSp macro="">
      <xdr:nvCxnSpPr>
        <xdr:cNvPr id="12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229</xdr:row>
      <xdr:rowOff>9524</xdr:rowOff>
    </xdr:from>
    <xdr:to>
      <xdr:col>26</xdr:col>
      <xdr:colOff>685800</xdr:colOff>
      <xdr:row>230</xdr:row>
      <xdr:rowOff>9524</xdr:rowOff>
    </xdr:to>
    <xdr:sp macro="" textlink="">
      <xdr:nvSpPr>
        <xdr:cNvPr id="12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229</xdr:row>
      <xdr:rowOff>104775</xdr:rowOff>
    </xdr:from>
    <xdr:to>
      <xdr:col>26</xdr:col>
      <xdr:colOff>552450</xdr:colOff>
      <xdr:row>229</xdr:row>
      <xdr:rowOff>200025</xdr:rowOff>
    </xdr:to>
    <xdr:sp macro="" textlink="">
      <xdr:nvSpPr>
        <xdr:cNvPr id="12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229</xdr:row>
      <xdr:rowOff>19050</xdr:rowOff>
    </xdr:from>
    <xdr:to>
      <xdr:col>27</xdr:col>
      <xdr:colOff>47625</xdr:colOff>
      <xdr:row>229</xdr:row>
      <xdr:rowOff>228600</xdr:rowOff>
    </xdr:to>
    <xdr:sp macro="" textlink="">
      <xdr:nvSpPr>
        <xdr:cNvPr id="12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228</xdr:row>
      <xdr:rowOff>161925</xdr:rowOff>
    </xdr:from>
    <xdr:to>
      <xdr:col>23</xdr:col>
      <xdr:colOff>523875</xdr:colOff>
      <xdr:row>228</xdr:row>
      <xdr:rowOff>161925</xdr:rowOff>
    </xdr:to>
    <xdr:cxnSp macro="">
      <xdr:nvCxnSpPr>
        <xdr:cNvPr id="12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228</xdr:row>
      <xdr:rowOff>161925</xdr:rowOff>
    </xdr:from>
    <xdr:to>
      <xdr:col>25</xdr:col>
      <xdr:colOff>1476375</xdr:colOff>
      <xdr:row>228</xdr:row>
      <xdr:rowOff>171450</xdr:rowOff>
    </xdr:to>
    <xdr:cxnSp macro="">
      <xdr:nvCxnSpPr>
        <xdr:cNvPr id="12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258</xdr:row>
      <xdr:rowOff>9524</xdr:rowOff>
    </xdr:from>
    <xdr:to>
      <xdr:col>4</xdr:col>
      <xdr:colOff>685800</xdr:colOff>
      <xdr:row>259</xdr:row>
      <xdr:rowOff>9524</xdr:rowOff>
    </xdr:to>
    <xdr:sp macro="" textlink="">
      <xdr:nvSpPr>
        <xdr:cNvPr id="12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258</xdr:row>
      <xdr:rowOff>104775</xdr:rowOff>
    </xdr:from>
    <xdr:to>
      <xdr:col>4</xdr:col>
      <xdr:colOff>552450</xdr:colOff>
      <xdr:row>258</xdr:row>
      <xdr:rowOff>200025</xdr:rowOff>
    </xdr:to>
    <xdr:sp macro="" textlink="">
      <xdr:nvSpPr>
        <xdr:cNvPr id="12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258</xdr:row>
      <xdr:rowOff>19050</xdr:rowOff>
    </xdr:from>
    <xdr:to>
      <xdr:col>5</xdr:col>
      <xdr:colOff>47625</xdr:colOff>
      <xdr:row>258</xdr:row>
      <xdr:rowOff>228600</xdr:rowOff>
    </xdr:to>
    <xdr:sp macro="" textlink="">
      <xdr:nvSpPr>
        <xdr:cNvPr id="12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257</xdr:row>
      <xdr:rowOff>161925</xdr:rowOff>
    </xdr:from>
    <xdr:to>
      <xdr:col>1</xdr:col>
      <xdr:colOff>523875</xdr:colOff>
      <xdr:row>257</xdr:row>
      <xdr:rowOff>161925</xdr:rowOff>
    </xdr:to>
    <xdr:cxnSp macro="">
      <xdr:nvCxnSpPr>
        <xdr:cNvPr id="13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257</xdr:row>
      <xdr:rowOff>161925</xdr:rowOff>
    </xdr:from>
    <xdr:to>
      <xdr:col>3</xdr:col>
      <xdr:colOff>1476375</xdr:colOff>
      <xdr:row>257</xdr:row>
      <xdr:rowOff>171450</xdr:rowOff>
    </xdr:to>
    <xdr:cxnSp macro="">
      <xdr:nvCxnSpPr>
        <xdr:cNvPr id="13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258</xdr:row>
      <xdr:rowOff>9524</xdr:rowOff>
    </xdr:from>
    <xdr:to>
      <xdr:col>15</xdr:col>
      <xdr:colOff>685800</xdr:colOff>
      <xdr:row>259</xdr:row>
      <xdr:rowOff>9524</xdr:rowOff>
    </xdr:to>
    <xdr:sp macro="" textlink="">
      <xdr:nvSpPr>
        <xdr:cNvPr id="13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258</xdr:row>
      <xdr:rowOff>104775</xdr:rowOff>
    </xdr:from>
    <xdr:to>
      <xdr:col>15</xdr:col>
      <xdr:colOff>552450</xdr:colOff>
      <xdr:row>258</xdr:row>
      <xdr:rowOff>200025</xdr:rowOff>
    </xdr:to>
    <xdr:sp macro="" textlink="">
      <xdr:nvSpPr>
        <xdr:cNvPr id="13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258</xdr:row>
      <xdr:rowOff>19050</xdr:rowOff>
    </xdr:from>
    <xdr:to>
      <xdr:col>16</xdr:col>
      <xdr:colOff>47625</xdr:colOff>
      <xdr:row>258</xdr:row>
      <xdr:rowOff>228600</xdr:rowOff>
    </xdr:to>
    <xdr:sp macro="" textlink="">
      <xdr:nvSpPr>
        <xdr:cNvPr id="13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257</xdr:row>
      <xdr:rowOff>161925</xdr:rowOff>
    </xdr:from>
    <xdr:to>
      <xdr:col>12</xdr:col>
      <xdr:colOff>523875</xdr:colOff>
      <xdr:row>257</xdr:row>
      <xdr:rowOff>161925</xdr:rowOff>
    </xdr:to>
    <xdr:cxnSp macro="">
      <xdr:nvCxnSpPr>
        <xdr:cNvPr id="13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257</xdr:row>
      <xdr:rowOff>161925</xdr:rowOff>
    </xdr:from>
    <xdr:to>
      <xdr:col>14</xdr:col>
      <xdr:colOff>1476375</xdr:colOff>
      <xdr:row>257</xdr:row>
      <xdr:rowOff>171450</xdr:rowOff>
    </xdr:to>
    <xdr:cxnSp macro="">
      <xdr:nvCxnSpPr>
        <xdr:cNvPr id="13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258</xdr:row>
      <xdr:rowOff>9524</xdr:rowOff>
    </xdr:from>
    <xdr:to>
      <xdr:col>26</xdr:col>
      <xdr:colOff>685800</xdr:colOff>
      <xdr:row>259</xdr:row>
      <xdr:rowOff>9524</xdr:rowOff>
    </xdr:to>
    <xdr:sp macro="" textlink="">
      <xdr:nvSpPr>
        <xdr:cNvPr id="13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258</xdr:row>
      <xdr:rowOff>104775</xdr:rowOff>
    </xdr:from>
    <xdr:to>
      <xdr:col>26</xdr:col>
      <xdr:colOff>552450</xdr:colOff>
      <xdr:row>258</xdr:row>
      <xdr:rowOff>200025</xdr:rowOff>
    </xdr:to>
    <xdr:sp macro="" textlink="">
      <xdr:nvSpPr>
        <xdr:cNvPr id="13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258</xdr:row>
      <xdr:rowOff>19050</xdr:rowOff>
    </xdr:from>
    <xdr:to>
      <xdr:col>27</xdr:col>
      <xdr:colOff>47625</xdr:colOff>
      <xdr:row>258</xdr:row>
      <xdr:rowOff>228600</xdr:rowOff>
    </xdr:to>
    <xdr:sp macro="" textlink="">
      <xdr:nvSpPr>
        <xdr:cNvPr id="13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257</xdr:row>
      <xdr:rowOff>161925</xdr:rowOff>
    </xdr:from>
    <xdr:to>
      <xdr:col>23</xdr:col>
      <xdr:colOff>523875</xdr:colOff>
      <xdr:row>257</xdr:row>
      <xdr:rowOff>161925</xdr:rowOff>
    </xdr:to>
    <xdr:cxnSp macro="">
      <xdr:nvCxnSpPr>
        <xdr:cNvPr id="14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257</xdr:row>
      <xdr:rowOff>161925</xdr:rowOff>
    </xdr:from>
    <xdr:to>
      <xdr:col>25</xdr:col>
      <xdr:colOff>1476375</xdr:colOff>
      <xdr:row>257</xdr:row>
      <xdr:rowOff>171450</xdr:rowOff>
    </xdr:to>
    <xdr:cxnSp macro="">
      <xdr:nvCxnSpPr>
        <xdr:cNvPr id="14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287</xdr:row>
      <xdr:rowOff>9524</xdr:rowOff>
    </xdr:from>
    <xdr:to>
      <xdr:col>4</xdr:col>
      <xdr:colOff>685800</xdr:colOff>
      <xdr:row>288</xdr:row>
      <xdr:rowOff>9524</xdr:rowOff>
    </xdr:to>
    <xdr:sp macro="" textlink="">
      <xdr:nvSpPr>
        <xdr:cNvPr id="14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123825</xdr:colOff>
      <xdr:row>287</xdr:row>
      <xdr:rowOff>104775</xdr:rowOff>
    </xdr:from>
    <xdr:to>
      <xdr:col>4</xdr:col>
      <xdr:colOff>552450</xdr:colOff>
      <xdr:row>287</xdr:row>
      <xdr:rowOff>200025</xdr:rowOff>
    </xdr:to>
    <xdr:sp macro="" textlink="">
      <xdr:nvSpPr>
        <xdr:cNvPr id="14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4</xdr:col>
      <xdr:colOff>704850</xdr:colOff>
      <xdr:row>287</xdr:row>
      <xdr:rowOff>19050</xdr:rowOff>
    </xdr:from>
    <xdr:to>
      <xdr:col>5</xdr:col>
      <xdr:colOff>47625</xdr:colOff>
      <xdr:row>287</xdr:row>
      <xdr:rowOff>228600</xdr:rowOff>
    </xdr:to>
    <xdr:sp macro="" textlink="">
      <xdr:nvSpPr>
        <xdr:cNvPr id="14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0</xdr:col>
      <xdr:colOff>152400</xdr:colOff>
      <xdr:row>286</xdr:row>
      <xdr:rowOff>161925</xdr:rowOff>
    </xdr:from>
    <xdr:to>
      <xdr:col>1</xdr:col>
      <xdr:colOff>523875</xdr:colOff>
      <xdr:row>286</xdr:row>
      <xdr:rowOff>161925</xdr:rowOff>
    </xdr:to>
    <xdr:cxnSp macro="">
      <xdr:nvCxnSpPr>
        <xdr:cNvPr id="14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286</xdr:row>
      <xdr:rowOff>161925</xdr:rowOff>
    </xdr:from>
    <xdr:to>
      <xdr:col>3</xdr:col>
      <xdr:colOff>1476375</xdr:colOff>
      <xdr:row>286</xdr:row>
      <xdr:rowOff>171450</xdr:rowOff>
    </xdr:to>
    <xdr:cxnSp macro="">
      <xdr:nvCxnSpPr>
        <xdr:cNvPr id="14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287</xdr:row>
      <xdr:rowOff>9524</xdr:rowOff>
    </xdr:from>
    <xdr:to>
      <xdr:col>15</xdr:col>
      <xdr:colOff>685800</xdr:colOff>
      <xdr:row>288</xdr:row>
      <xdr:rowOff>9524</xdr:rowOff>
    </xdr:to>
    <xdr:sp macro="" textlink="">
      <xdr:nvSpPr>
        <xdr:cNvPr id="147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123825</xdr:colOff>
      <xdr:row>287</xdr:row>
      <xdr:rowOff>104775</xdr:rowOff>
    </xdr:from>
    <xdr:to>
      <xdr:col>15</xdr:col>
      <xdr:colOff>552450</xdr:colOff>
      <xdr:row>287</xdr:row>
      <xdr:rowOff>200025</xdr:rowOff>
    </xdr:to>
    <xdr:sp macro="" textlink="">
      <xdr:nvSpPr>
        <xdr:cNvPr id="148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15</xdr:col>
      <xdr:colOff>704850</xdr:colOff>
      <xdr:row>287</xdr:row>
      <xdr:rowOff>19050</xdr:rowOff>
    </xdr:from>
    <xdr:to>
      <xdr:col>16</xdr:col>
      <xdr:colOff>47625</xdr:colOff>
      <xdr:row>287</xdr:row>
      <xdr:rowOff>228600</xdr:rowOff>
    </xdr:to>
    <xdr:sp macro="" textlink="">
      <xdr:nvSpPr>
        <xdr:cNvPr id="149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11</xdr:col>
      <xdr:colOff>152400</xdr:colOff>
      <xdr:row>286</xdr:row>
      <xdr:rowOff>161925</xdr:rowOff>
    </xdr:from>
    <xdr:to>
      <xdr:col>12</xdr:col>
      <xdr:colOff>523875</xdr:colOff>
      <xdr:row>286</xdr:row>
      <xdr:rowOff>161925</xdr:rowOff>
    </xdr:to>
    <xdr:cxnSp macro="">
      <xdr:nvCxnSpPr>
        <xdr:cNvPr id="150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286</xdr:row>
      <xdr:rowOff>161925</xdr:rowOff>
    </xdr:from>
    <xdr:to>
      <xdr:col>14</xdr:col>
      <xdr:colOff>1476375</xdr:colOff>
      <xdr:row>286</xdr:row>
      <xdr:rowOff>171450</xdr:rowOff>
    </xdr:to>
    <xdr:cxnSp macro="">
      <xdr:nvCxnSpPr>
        <xdr:cNvPr id="151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85725</xdr:colOff>
      <xdr:row>287</xdr:row>
      <xdr:rowOff>9524</xdr:rowOff>
    </xdr:from>
    <xdr:to>
      <xdr:col>26</xdr:col>
      <xdr:colOff>685800</xdr:colOff>
      <xdr:row>288</xdr:row>
      <xdr:rowOff>9524</xdr:rowOff>
    </xdr:to>
    <xdr:sp macro="" textlink="">
      <xdr:nvSpPr>
        <xdr:cNvPr id="152" name="Flecha derecha 7"/>
        <xdr:cNvSpPr/>
      </xdr:nvSpPr>
      <xdr:spPr>
        <a:xfrm>
          <a:off x="3543300" y="4962524"/>
          <a:ext cx="600075" cy="2857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26</xdr:col>
      <xdr:colOff>123825</xdr:colOff>
      <xdr:row>287</xdr:row>
      <xdr:rowOff>104775</xdr:rowOff>
    </xdr:from>
    <xdr:to>
      <xdr:col>26</xdr:col>
      <xdr:colOff>552450</xdr:colOff>
      <xdr:row>287</xdr:row>
      <xdr:rowOff>200025</xdr:rowOff>
    </xdr:to>
    <xdr:sp macro="" textlink="">
      <xdr:nvSpPr>
        <xdr:cNvPr id="153" name="CuadroTexto 8"/>
        <xdr:cNvSpPr txBox="1"/>
      </xdr:nvSpPr>
      <xdr:spPr>
        <a:xfrm>
          <a:off x="3581400" y="5057775"/>
          <a:ext cx="428625" cy="95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700" b="1">
              <a:solidFill>
                <a:schemeClr val="accent1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26</xdr:col>
      <xdr:colOff>704850</xdr:colOff>
      <xdr:row>287</xdr:row>
      <xdr:rowOff>19050</xdr:rowOff>
    </xdr:from>
    <xdr:to>
      <xdr:col>27</xdr:col>
      <xdr:colOff>47625</xdr:colOff>
      <xdr:row>287</xdr:row>
      <xdr:rowOff>228600</xdr:rowOff>
    </xdr:to>
    <xdr:sp macro="" textlink="">
      <xdr:nvSpPr>
        <xdr:cNvPr id="154" name="CuadroTexto 9"/>
        <xdr:cNvSpPr txBox="1"/>
      </xdr:nvSpPr>
      <xdr:spPr>
        <a:xfrm>
          <a:off x="4162425" y="4972050"/>
          <a:ext cx="257175" cy="209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accent1">
                  <a:lumMod val="50000"/>
                </a:schemeClr>
              </a:solidFill>
            </a:rPr>
            <a:t>$</a:t>
          </a:r>
        </a:p>
      </xdr:txBody>
    </xdr:sp>
    <xdr:clientData/>
  </xdr:twoCellAnchor>
  <xdr:twoCellAnchor>
    <xdr:from>
      <xdr:col>22</xdr:col>
      <xdr:colOff>152400</xdr:colOff>
      <xdr:row>286</xdr:row>
      <xdr:rowOff>161925</xdr:rowOff>
    </xdr:from>
    <xdr:to>
      <xdr:col>23</xdr:col>
      <xdr:colOff>523875</xdr:colOff>
      <xdr:row>286</xdr:row>
      <xdr:rowOff>161925</xdr:rowOff>
    </xdr:to>
    <xdr:cxnSp macro="">
      <xdr:nvCxnSpPr>
        <xdr:cNvPr id="155" name="Conector recto 11"/>
        <xdr:cNvCxnSpPr/>
      </xdr:nvCxnSpPr>
      <xdr:spPr>
        <a:xfrm>
          <a:off x="152400" y="4924425"/>
          <a:ext cx="1133475" cy="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286</xdr:row>
      <xdr:rowOff>161925</xdr:rowOff>
    </xdr:from>
    <xdr:to>
      <xdr:col>25</xdr:col>
      <xdr:colOff>1476375</xdr:colOff>
      <xdr:row>286</xdr:row>
      <xdr:rowOff>171450</xdr:rowOff>
    </xdr:to>
    <xdr:cxnSp macro="">
      <xdr:nvCxnSpPr>
        <xdr:cNvPr id="156" name="Conector recto 12"/>
        <xdr:cNvCxnSpPr/>
      </xdr:nvCxnSpPr>
      <xdr:spPr>
        <a:xfrm flipV="1">
          <a:off x="1647825" y="4924425"/>
          <a:ext cx="1809750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800099</xdr:colOff>
      <xdr:row>2</xdr:row>
      <xdr:rowOff>142874</xdr:rowOff>
    </xdr:from>
    <xdr:to>
      <xdr:col>11</xdr:col>
      <xdr:colOff>466724</xdr:colOff>
      <xdr:row>19</xdr:row>
      <xdr:rowOff>133349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342900</xdr:colOff>
      <xdr:row>21</xdr:row>
      <xdr:rowOff>19050</xdr:rowOff>
    </xdr:from>
    <xdr:to>
      <xdr:col>6</xdr:col>
      <xdr:colOff>571500</xdr:colOff>
      <xdr:row>34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PARTAMEN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PARTA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9775" y="40195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8</xdr:row>
      <xdr:rowOff>66675</xdr:rowOff>
    </xdr:from>
    <xdr:to>
      <xdr:col>3</xdr:col>
      <xdr:colOff>781050</xdr:colOff>
      <xdr:row>23</xdr:row>
      <xdr:rowOff>11075</xdr:rowOff>
    </xdr:to>
    <xdr:sp macro="" textlink="">
      <xdr:nvSpPr>
        <xdr:cNvPr id="4" name="Rectángulo redondeado 3"/>
        <xdr:cNvSpPr/>
      </xdr:nvSpPr>
      <xdr:spPr>
        <a:xfrm>
          <a:off x="47626" y="1600200"/>
          <a:ext cx="4486274" cy="28019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 b="1">
              <a:solidFill>
                <a:sysClr val="windowText" lastClr="000000"/>
              </a:solidFill>
            </a:rPr>
            <a:t>Gráfico</a:t>
          </a:r>
          <a:r>
            <a:rPr lang="es-CO" sz="1200" b="1" baseline="0">
              <a:solidFill>
                <a:sysClr val="windowText" lastClr="000000"/>
              </a:solidFill>
            </a:rPr>
            <a:t> de barras de acuerdo a las formas de pago establecidas por la compañia </a:t>
          </a:r>
          <a:endParaRPr lang="es-CO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33226</xdr:colOff>
      <xdr:row>10</xdr:row>
      <xdr:rowOff>177210</xdr:rowOff>
    </xdr:from>
    <xdr:to>
      <xdr:col>11</xdr:col>
      <xdr:colOff>44302</xdr:colOff>
      <xdr:row>21</xdr:row>
      <xdr:rowOff>132907</xdr:rowOff>
    </xdr:to>
    <xdr:sp macro="" textlink="">
      <xdr:nvSpPr>
        <xdr:cNvPr id="5" name="Rectángulo 4"/>
        <xdr:cNvSpPr/>
      </xdr:nvSpPr>
      <xdr:spPr>
        <a:xfrm>
          <a:off x="4624276" y="2091735"/>
          <a:ext cx="6964326" cy="2051197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Gráfico lineal Ventas  Por producto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95250</xdr:rowOff>
    </xdr:from>
    <xdr:to>
      <xdr:col>4</xdr:col>
      <xdr:colOff>9525</xdr:colOff>
      <xdr:row>28</xdr:row>
      <xdr:rowOff>28574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733425</xdr:colOff>
      <xdr:row>14</xdr:row>
      <xdr:rowOff>28575</xdr:rowOff>
    </xdr:from>
    <xdr:to>
      <xdr:col>8</xdr:col>
      <xdr:colOff>2019301</xdr:colOff>
      <xdr:row>29</xdr:row>
      <xdr:rowOff>142875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114300</xdr:rowOff>
    </xdr:from>
    <xdr:to>
      <xdr:col>1</xdr:col>
      <xdr:colOff>904874</xdr:colOff>
      <xdr:row>6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PARTAMENT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PARTAM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409575"/>
              <a:ext cx="2124074" cy="885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657850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el</a:t>
          </a:r>
          <a:r>
            <a:rPr lang="es-CO" sz="2000" baseline="0">
              <a:latin typeface="Arial" pitchFamily="34" charset="0"/>
              <a:cs typeface="Arial" pitchFamily="34" charset="0"/>
            </a:rPr>
            <a:t> Subtotal es &gt;=90.000 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010275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305175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428750"/>
          <a:ext cx="5076825" cy="27051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el</a:t>
          </a:r>
          <a:r>
            <a:rPr lang="es-CO" sz="2000" baseline="0">
              <a:latin typeface="Arial" pitchFamily="34" charset="0"/>
              <a:cs typeface="Arial" pitchFamily="34" charset="0"/>
            </a:rPr>
            <a:t> Subtotal es &lt;=400.000 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438275"/>
          <a:ext cx="0" cy="2695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5429250" y="1447800"/>
          <a:ext cx="0" cy="2724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2724150" y="1257300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428750"/>
          <a:ext cx="4857750" cy="27051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la</a:t>
          </a:r>
          <a:r>
            <a:rPr lang="es-CO" sz="2000" baseline="0">
              <a:latin typeface="Arial" pitchFamily="34" charset="0"/>
              <a:cs typeface="Arial" pitchFamily="34" charset="0"/>
            </a:rPr>
            <a:t> frecuencia de compra es &gt;=15 días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438275"/>
          <a:ext cx="0" cy="2695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5210175" y="1447800"/>
          <a:ext cx="0" cy="2724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2505075" y="1257300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docente02\Escritorio\TABLERO%20DINAMIC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"/>
      <sheetName val="Segmentación de Datos o Slices"/>
      <sheetName val="Datos"/>
      <sheetName val="Tablas dinamicas"/>
      <sheetName val="Dashboard"/>
      <sheetName val="Diseño"/>
      <sheetName val="3"/>
      <sheetName val="4"/>
      <sheetName val="5"/>
      <sheetName val="6"/>
      <sheetName val="7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BDfechas"/>
      <sheetName val="21"/>
      <sheetName val="22"/>
      <sheetName val="TABLERO DINAMIC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MAZO" refreshedDate="43443.555072569441" createdVersion="4" refreshedVersion="4" minRefreshableVersion="3" recordCount="38">
  <cacheSource type="worksheet">
    <worksheetSource name="Tabla1"/>
  </cacheSource>
  <cacheFields count="18">
    <cacheField name="FACTURA" numFmtId="0">
      <sharedItems containsString="0" containsBlank="1" containsNumber="1" containsInteger="1" minValue="701" maxValue="730"/>
    </cacheField>
    <cacheField name="NIT" numFmtId="0">
      <sharedItems containsBlank="1"/>
    </cacheField>
    <cacheField name="CLIENTE" numFmtId="0">
      <sharedItems containsBlank="1" count="31">
        <s v="COLEGIO MAYOR DE ANTIOQUIA"/>
        <s v="CORPORACION CENTRO TÉCNICO ARQUITETÓNICO "/>
        <s v="CORPORACIÓN EDUCATIVA -ITAE-"/>
        <s v="CORPORACIÓN ESCUELA DE ARTES Y LETRAS"/>
        <s v="UNIVERSIDAD CATÓLICA LUIS AMIGÓ"/>
        <s v="CORPORACIÓN JOHN F.KENNEDY"/>
        <s v="CORPORACIÓN UNVIERSITARIA CENDA"/>
        <s v="CORPORACIÓN UNIVERSITARIA MARÍA"/>
        <s v="UNIVERSIDAD ECCI"/>
        <s v="ESCUELA COLOMBIANA DE  INGENIERIA"/>
        <s v="ESCUELA NACIONAL DE DEPORTE"/>
        <s v="UNIVERSIDAD NACIONAL"/>
        <s v="FUNDACIÓN UNIVERSITARIA AUTONOMA "/>
        <s v="CORPORACION ARTES Y OFICIOS"/>
        <s v="CASA DE LA CULTURA PEDRITO RUIZ"/>
        <s v="FUNDACIÓN UNIVERSITARIA SAN MARTIN"/>
        <s v="INSTITUCIÓN UNIVERSITARIA ESCOLME"/>
        <s v="FUNDACIÓN UNIVERSITARIA INPAHU"/>
        <s v="UNIVERSIDAD DE ANTIOQUIA"/>
        <s v="UNIVERSIDAD TÉCNICO AGRÍCOLA ITA"/>
        <s v="INSTITUTO DEPARTAMENTAL ARTES"/>
        <s v="UNIVERSIDAD ANTIONIO JOSÉ"/>
        <s v="INSTITUCIÓN DE EDUCACIÓN EMPRESARIAL"/>
        <s v="UNIVERSIDAD CENTRAL "/>
        <s v="UNIVERSIDAD EAFIT"/>
        <s v="UNIVERSIDAD DE LOS ANDES"/>
        <s v="UNIVERSIDAD AUTONOMA DE OCCIDENTE"/>
        <s v="UNIPANAMERICANA"/>
        <s v="UNIVERSIDAD DE PAMPLONA"/>
        <s v="UNIVERSIDAD DEL ATLÁNTICO"/>
        <m/>
      </sharedItems>
    </cacheField>
    <cacheField name="TELÉFONO" numFmtId="0">
      <sharedItems containsString="0" containsBlank="1" containsNumber="1" containsInteger="1" minValue="2134421" maxValue="8213000"/>
    </cacheField>
    <cacheField name="DIRECCIÓN" numFmtId="0">
      <sharedItems containsBlank="1"/>
    </cacheField>
    <cacheField name="DEPARTAMENTO" numFmtId="0">
      <sharedItems containsBlank="1" count="12">
        <s v="Antioquia"/>
        <s v="Risaralda"/>
        <s v="Bolivar"/>
        <s v="Tolima"/>
        <s v="Cundinamarca"/>
        <s v="Valle del Cauca"/>
        <s v="Santander"/>
        <s v="Nariño"/>
        <s v="Atlántico"/>
        <s v="Sucre"/>
        <s v="Atlantico "/>
        <m/>
      </sharedItems>
    </cacheField>
    <cacheField name="PRODUCTO" numFmtId="0">
      <sharedItems containsBlank="1"/>
    </cacheField>
    <cacheField name="CANTIDAD" numFmtId="0">
      <sharedItems containsString="0" containsBlank="1" containsNumber="1" containsInteger="1" minValue="10" maxValue="45"/>
    </cacheField>
    <cacheField name="FRECUENCIA DE COMPRA EN DIAS" numFmtId="3">
      <sharedItems containsMixedTypes="1" containsNumber="1" containsInteger="1" minValue="2" maxValue="30"/>
    </cacheField>
    <cacheField name="V/ UNITARIO" numFmtId="0">
      <sharedItems containsString="0" containsBlank="1" containsNumber="1" containsInteger="1" minValue="900" maxValue="34890"/>
    </cacheField>
    <cacheField name="VALOR BRUTO " numFmtId="0">
      <sharedItems containsString="0" containsBlank="1" containsNumber="1" containsInteger="1" minValue="22000" maxValue="1221150"/>
    </cacheField>
    <cacheField name="DESCUENTO" numFmtId="164">
      <sharedItems containsString="0" containsBlank="1" containsNumber="1" minValue="990" maxValue="61057.5"/>
    </cacheField>
    <cacheField name="SUBTOTAL" numFmtId="164">
      <sharedItems containsString="0" containsBlank="1" containsNumber="1" minValue="21010" maxValue="1160092.5"/>
    </cacheField>
    <cacheField name="IVA" numFmtId="166">
      <sharedItems containsString="0" containsBlank="1" containsNumber="1" minValue="0" maxValue="220417.57500000001"/>
    </cacheField>
    <cacheField name="R/FUENTE" numFmtId="164">
      <sharedItems containsString="0" containsBlank="1" containsNumber="1" minValue="0" maxValue="13582.625000000002"/>
    </cacheField>
    <cacheField name="TOTAL A PAGAR" numFmtId="164">
      <sharedItems containsString="0" containsBlank="1" containsNumber="1" minValue="20274.650000000001" maxValue="1380510.075"/>
    </cacheField>
    <cacheField name="FORMA DE PAGO" numFmtId="164">
      <sharedItems count="3">
        <s v="CONTADO"/>
        <s v="CRÉDITO"/>
        <s v=""/>
      </sharedItems>
    </cacheField>
    <cacheField name="RESULTADOS OBTENIDOS" numFmtId="164">
      <sharedItems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ICHAEL MAZO" refreshedDate="43443.570336921293" createdVersion="4" refreshedVersion="4" minRefreshableVersion="3" recordCount="38">
  <cacheSource type="worksheet">
    <worksheetSource name="Tabla2"/>
  </cacheSource>
  <cacheFields count="18">
    <cacheField name="FACTURA" numFmtId="0">
      <sharedItems containsString="0" containsBlank="1" containsNumber="1" containsInteger="1" minValue="701" maxValue="730"/>
    </cacheField>
    <cacheField name="NIT" numFmtId="0">
      <sharedItems containsBlank="1"/>
    </cacheField>
    <cacheField name="CLIENTE" numFmtId="0">
      <sharedItems containsBlank="1" count="31">
        <s v="COLEGIO MAYOR DE ANTIOQUIA"/>
        <s v="CORPORACION CENTRO TÉCNICO ARQUITETÓNICO "/>
        <s v="CORPORACIÓN EDUCATIVA -ITAE-"/>
        <s v="CORPORACIÓN ESCUELA DE ARTES Y LETRAS"/>
        <s v="UNIVERSIDAD CATÓLICA LUIS AMIGÓ"/>
        <s v="CORPORACIÓN JOHN F.KENNEDY"/>
        <s v="CORPORACIÓN UNVIERSITARIA CENDA"/>
        <s v="CORPORACIÓN UNIVERSITARIA MARÍA"/>
        <s v="UNIVERSIDAD ECCI"/>
        <s v="ESCUELA COLOMBIANA DE  INGENIERIA"/>
        <s v="ESCUELA NACIONAL DE DEPORTE"/>
        <s v="UNIVERSIDAD NACIONAL"/>
        <s v="FUNDACIÓN UNIVERSITARIA AUTONOMA "/>
        <s v="CORPORACION ARTES Y OFICIOS"/>
        <s v="CASA DE LA CULTURA PEDRITO RUIZ"/>
        <s v="FUNDACIÓN UNIVERSITARIA SAN MARTIN"/>
        <s v="INSTITUCIÓN UNIVERSITARIA ESCOLME"/>
        <s v="FUNDACIÓN UNIVERSITARIA INPAHU"/>
        <s v="UNIVERSIDAD DE ANTIOQUIA"/>
        <s v="UNIVERSIDAD TÉCNICO AGRÍCOLA ITA"/>
        <s v="INSTITUTO DEPARTAMENTAL ARTES"/>
        <s v="UNIVERSIDAD ANTIONIO JOSÉ"/>
        <s v="INSTITUCIÓN DE EDUCACIÓN EMPRESARIAL"/>
        <s v="UNIVERSIDAD CENTRAL "/>
        <s v="UNIVERSIDAD EAFIT"/>
        <s v="UNIVERSIDAD DE LOS ANDES"/>
        <s v="UNIVERSIDAD AUTONOMA DE OCCIDENTE"/>
        <s v="UNIPANAMERICANA"/>
        <s v="UNIVERSIDAD DE PAMPLONA"/>
        <s v="UNIVERSIDAD DEL ATLÁNTICO"/>
        <m/>
      </sharedItems>
    </cacheField>
    <cacheField name="TELÉFONO" numFmtId="0">
      <sharedItems containsString="0" containsBlank="1" containsNumber="1" containsInteger="1" minValue="2134421" maxValue="8213000"/>
    </cacheField>
    <cacheField name="DIRECCIÓN" numFmtId="0">
      <sharedItems containsBlank="1"/>
    </cacheField>
    <cacheField name="DEPARTAMENTO" numFmtId="0">
      <sharedItems containsBlank="1" count="12">
        <s v="Antioquia"/>
        <s v="Risaralda"/>
        <s v="Bolivar"/>
        <s v="Tolima"/>
        <s v="Cundinamarca"/>
        <s v="Valle del Cauca"/>
        <s v="Santander"/>
        <s v="Nariño"/>
        <s v="Atlántico"/>
        <s v="Sucre"/>
        <s v="Atlántico "/>
        <m/>
      </sharedItems>
    </cacheField>
    <cacheField name="PRODUCTO" numFmtId="0">
      <sharedItems containsBlank="1" count="18">
        <s v="CAJA DE RESMAS TAMAÑO OFICIO "/>
        <s v="CAJA DE RESMAS TAMAÑO CARTA X 15 "/>
        <s v="TALONARIO DE CAJA MENOR "/>
        <s v="CUADERNO ARGOLLADO"/>
        <s v="CARPETAS PARA ARCHIVO TAMAÑO OFICIO"/>
        <s v="CAJA DE COLORES NORMA"/>
        <s v="VINILOS PRISMACOLOR"/>
        <s v="LIBRO CONTABLE"/>
        <s v="ROLLOS PARA IMPRESORA DE CAJA X 6 U."/>
        <s v="BLOCK TAMAÑO CARTA"/>
        <s v="GRAPADORA MEDIANA"/>
        <s v="CAJA LAPIZ MIRADO No. 2   X12 U"/>
        <s v="GRAPADORA PEQUEÑA"/>
        <s v="CAJA DE LAPICEROS KILOMETRICO X 12 U"/>
        <s v="CARPETAS PARA ARCHIVO TAMAÑO CARTA"/>
        <s v="MORRAL "/>
        <s v="CRAYOLAS "/>
        <m/>
      </sharedItems>
    </cacheField>
    <cacheField name="CANTIDAD" numFmtId="0">
      <sharedItems containsString="0" containsBlank="1" containsNumber="1" containsInteger="1" minValue="10" maxValue="45"/>
    </cacheField>
    <cacheField name="FRECUENCIA DE COMPRA EN DIAS" numFmtId="3">
      <sharedItems containsMixedTypes="1" containsNumber="1" containsInteger="1" minValue="2" maxValue="30" count="11">
        <n v="8"/>
        <n v="15"/>
        <n v="10"/>
        <n v="30"/>
        <n v="5"/>
        <n v="3"/>
        <n v="6"/>
        <n v="4"/>
        <n v="2"/>
        <n v="7"/>
        <s v=""/>
      </sharedItems>
    </cacheField>
    <cacheField name="V/ UNITARIO" numFmtId="0">
      <sharedItems containsString="0" containsBlank="1" containsNumber="1" containsInteger="1" minValue="900" maxValue="34890"/>
    </cacheField>
    <cacheField name="VALOR BRUTO " numFmtId="0">
      <sharedItems containsString="0" containsBlank="1" containsNumber="1" containsInteger="1" minValue="22000" maxValue="1221150"/>
    </cacheField>
    <cacheField name="DESCUENTO" numFmtId="164">
      <sharedItems containsString="0" containsBlank="1" containsNumber="1" minValue="990" maxValue="61057.5"/>
    </cacheField>
    <cacheField name="SUBTOTAL" numFmtId="164">
      <sharedItems containsString="0" containsBlank="1" containsNumber="1" minValue="21010" maxValue="1160092.5"/>
    </cacheField>
    <cacheField name="IVA" numFmtId="166">
      <sharedItems containsString="0" containsBlank="1" containsNumber="1" minValue="0" maxValue="220417.57500000001"/>
    </cacheField>
    <cacheField name="R/FUENTE" numFmtId="164">
      <sharedItems containsString="0" containsBlank="1" containsNumber="1" minValue="0" maxValue="13582.625000000002"/>
    </cacheField>
    <cacheField name="TOTAL A PAGAR" numFmtId="164">
      <sharedItems containsString="0" containsBlank="1" containsNumber="1" minValue="20274.650000000001" maxValue="1380510.075"/>
    </cacheField>
    <cacheField name="FORMA DE PAGO" numFmtId="164">
      <sharedItems count="3">
        <s v="CONTADO"/>
        <s v="CRÉDITO"/>
        <s v=""/>
      </sharedItems>
    </cacheField>
    <cacheField name="RESULTADOS OBTENIDOS" numFmtId="164">
      <sharedItems containsBlank="1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n v="701"/>
    <s v="890980134-1"/>
    <x v="0"/>
    <n v="4445611"/>
    <s v="Carrera 78 N° 65-46"/>
    <x v="0"/>
    <s v="CAJA DE RESMAS TAMAÑO OFICIO "/>
    <n v="35"/>
    <n v="8"/>
    <n v="34890"/>
    <n v="1221150"/>
    <n v="61057.5"/>
    <n v="1160092.5"/>
    <n v="220417.57500000001"/>
    <n v="0"/>
    <n v="1380510.075"/>
    <x v="0"/>
    <s v="Buena Demanda"/>
  </r>
  <r>
    <n v="702"/>
    <s v="890480054-5"/>
    <x v="1"/>
    <n v="3293333"/>
    <s v="Avda 30 de Agosto N° 52-236"/>
    <x v="1"/>
    <s v="CAJA DE RESMAS TAMAÑO CARTA X 15 "/>
    <n v="20"/>
    <n v="15"/>
    <n v="25678"/>
    <n v="513560"/>
    <n v="15406.8"/>
    <n v="498153.2"/>
    <n v="94649.108000000007"/>
    <n v="0"/>
    <n v="592802.30799999996"/>
    <x v="0"/>
    <s v="Mala Demanda"/>
  </r>
  <r>
    <n v="703"/>
    <s v="891411199-3"/>
    <x v="2"/>
    <n v="6642484"/>
    <s v="Centro Carrera 3 Calle de la factoria N°35-95"/>
    <x v="2"/>
    <s v="TALONARIO DE CAJA MENOR "/>
    <n v="40"/>
    <n v="10"/>
    <n v="900"/>
    <n v="36000"/>
    <n v="1800"/>
    <n v="34200"/>
    <n v="0"/>
    <n v="1197.0000000000002"/>
    <n v="33003"/>
    <x v="1"/>
    <s v="Buena Demanda"/>
  </r>
  <r>
    <n v="704"/>
    <s v="8900704562-9"/>
    <x v="3"/>
    <n v="2134421"/>
    <s v="Calle 10 N° 29-93 "/>
    <x v="3"/>
    <s v="CUADERNO ARGOLLADO"/>
    <n v="22"/>
    <n v="8"/>
    <n v="10900"/>
    <n v="239800"/>
    <n v="10791"/>
    <n v="229009"/>
    <n v="43511.71"/>
    <n v="8015.3150000000005"/>
    <n v="264505.39500000002"/>
    <x v="1"/>
    <s v="Buena Demanda"/>
  </r>
  <r>
    <n v="705"/>
    <s v="890203706-2"/>
    <x v="4"/>
    <n v="6525202"/>
    <s v="Calle 10 N° 3-95"/>
    <x v="0"/>
    <s v="CARPETAS PARA ARCHIVO TAMAÑO OFICIO"/>
    <n v="43"/>
    <n v="30"/>
    <n v="7100"/>
    <n v="305300"/>
    <n v="15265"/>
    <n v="290035"/>
    <n v="55106.65"/>
    <n v="10151.225"/>
    <n v="334990.42500000005"/>
    <x v="1"/>
    <s v="Mala Demanda"/>
  </r>
  <r>
    <n v="706"/>
    <s v="891408248-5"/>
    <x v="5"/>
    <n v="6505400"/>
    <s v="Calle 74 N° 11-92"/>
    <x v="4"/>
    <s v="CAJA DE COLORES NORMA"/>
    <n v="12"/>
    <n v="5"/>
    <n v="9500"/>
    <n v="114000"/>
    <n v="3420"/>
    <n v="110580"/>
    <n v="21010.2"/>
    <n v="3870.3"/>
    <n v="127719.90000000001"/>
    <x v="0"/>
    <s v="Buena Demanda"/>
  </r>
  <r>
    <n v="707"/>
    <s v="860066098-5"/>
    <x v="6"/>
    <n v="3400100"/>
    <s v="Carrera 14 N° 12-42"/>
    <x v="1"/>
    <s v="VINILOS PRISMACOLOR"/>
    <n v="25"/>
    <n v="3"/>
    <n v="1000"/>
    <n v="25000"/>
    <n v="1125"/>
    <n v="23875"/>
    <n v="0"/>
    <n v="835.62500000000011"/>
    <n v="23039.375"/>
    <x v="0"/>
    <s v="Buena Demanda"/>
  </r>
  <r>
    <n v="708"/>
    <s v="860504543-1"/>
    <x v="7"/>
    <n v="5446573"/>
    <s v="Carrera 23 N° 63-36"/>
    <x v="1"/>
    <s v="LIBRO CONTABLE"/>
    <n v="15"/>
    <n v="30"/>
    <n v="4500"/>
    <n v="67500"/>
    <n v="2025"/>
    <n v="65475"/>
    <n v="0"/>
    <n v="2291.625"/>
    <n v="63183.375"/>
    <x v="0"/>
    <s v="Mala Demanda"/>
  </r>
  <r>
    <n v="709"/>
    <s v="8605008517-8"/>
    <x v="8"/>
    <n v="3689618"/>
    <s v="Calle 41 N° 27A-56"/>
    <x v="2"/>
    <s v="CAJA DE COLORES NORMA"/>
    <n v="28"/>
    <n v="8"/>
    <n v="9500"/>
    <n v="266000"/>
    <n v="11970"/>
    <n v="254030"/>
    <n v="48265.7"/>
    <n v="8891.0500000000011"/>
    <n v="293404.65000000002"/>
    <x v="1"/>
    <s v="Buena Demanda"/>
  </r>
  <r>
    <n v="710"/>
    <s v="890985856-3"/>
    <x v="9"/>
    <n v="2451333"/>
    <s v="Calle 46 N° 13-43"/>
    <x v="5"/>
    <s v="CAJA DE RESMAS TAMAÑO OFICIO "/>
    <n v="35"/>
    <n v="6"/>
    <n v="34890"/>
    <n v="1221150"/>
    <n v="61057.5"/>
    <n v="1160092.5"/>
    <n v="220417.57500000001"/>
    <n v="0"/>
    <n v="1380510.075"/>
    <x v="1"/>
    <s v="Buena Demanda"/>
  </r>
  <r>
    <n v="711"/>
    <s v="800003863-5"/>
    <x v="10"/>
    <n v="2826786"/>
    <s v="Calle 19 N° 3-16"/>
    <x v="6"/>
    <s v="LIBRO CONTABLE"/>
    <n v="45"/>
    <n v="30"/>
    <n v="4500"/>
    <n v="202500"/>
    <n v="10125"/>
    <n v="192375"/>
    <n v="36551.25"/>
    <n v="6733.1250000000009"/>
    <n v="222193.125"/>
    <x v="0"/>
    <s v="Mala Demanda"/>
  </r>
  <r>
    <n v="712"/>
    <s v="860401734-9"/>
    <x v="11"/>
    <n v="4500040"/>
    <s v="Calle 48 N° 50-30"/>
    <x v="0"/>
    <s v="ROLLOS PARA IMPRESORA DE CAJA X 6 U."/>
    <n v="42"/>
    <n v="4"/>
    <n v="7654"/>
    <n v="321468"/>
    <n v="16073.400000000001"/>
    <n v="305394.59999999998"/>
    <n v="58024.973999999995"/>
    <n v="10688.811"/>
    <n v="352730.76299999998"/>
    <x v="0"/>
    <s v="Buena Demanda"/>
  </r>
  <r>
    <n v="713"/>
    <s v="864366098-5"/>
    <x v="12"/>
    <n v="3078180"/>
    <s v="Calle 34 N° 15-36"/>
    <x v="1"/>
    <s v="ROLLOS PARA IMPRESORA DE CAJA X 6 U."/>
    <n v="20"/>
    <n v="4"/>
    <n v="7654"/>
    <n v="153080"/>
    <n v="4592.3999999999996"/>
    <n v="148487.6"/>
    <n v="28212.644"/>
    <n v="5197.0660000000007"/>
    <n v="171503.17800000001"/>
    <x v="1"/>
    <s v="Buena Demanda"/>
  </r>
  <r>
    <n v="714"/>
    <s v="862504543-1"/>
    <x v="13"/>
    <n v="2321617"/>
    <s v="Calle 33 N° 11-50"/>
    <x v="7"/>
    <s v="BLOCK TAMAÑO CARTA"/>
    <n v="29"/>
    <n v="2"/>
    <n v="2400"/>
    <n v="69600"/>
    <n v="3132"/>
    <n v="66468"/>
    <n v="0"/>
    <n v="2326.38"/>
    <n v="64141.62"/>
    <x v="0"/>
    <s v="Buena Demanda"/>
  </r>
  <r>
    <n v="715"/>
    <s v="8607108517-8"/>
    <x v="14"/>
    <n v="3232964"/>
    <s v="Carrera 9 N° 45 A-44"/>
    <x v="5"/>
    <s v="GRAPADORA MEDIANA"/>
    <n v="30"/>
    <n v="30"/>
    <n v="4708"/>
    <n v="141240"/>
    <n v="6355.8"/>
    <n v="134884.20000000001"/>
    <n v="25627.998000000003"/>
    <n v="4720.947000000001"/>
    <n v="155791.25099999999"/>
    <x v="1"/>
    <s v="Mala Demanda"/>
  </r>
  <r>
    <n v="716"/>
    <s v="891995856-3"/>
    <x v="15"/>
    <n v="7232452"/>
    <s v="Carrera 28 N° 19-24"/>
    <x v="4"/>
    <s v="BLOCK TAMAÑO CARTA"/>
    <n v="25"/>
    <n v="7"/>
    <n v="2400"/>
    <n v="60000"/>
    <n v="2700"/>
    <n v="57300"/>
    <n v="0"/>
    <n v="2005.5000000000002"/>
    <n v="55294.5"/>
    <x v="0"/>
    <s v="Buena Demanda"/>
  </r>
  <r>
    <n v="717"/>
    <s v="800203863-5"/>
    <x v="16"/>
    <n v="8213000"/>
    <s v="Calle 5 N° 3-85"/>
    <x v="4"/>
    <s v="CAJA LAPIZ MIRADO No. 2   X12 U"/>
    <n v="35"/>
    <n v="15"/>
    <n v="7680"/>
    <n v="268800"/>
    <n v="13440"/>
    <n v="255360"/>
    <n v="48518.400000000001"/>
    <n v="8937.6"/>
    <n v="294940.80000000005"/>
    <x v="1"/>
    <s v="Mala Demanda"/>
  </r>
  <r>
    <n v="718"/>
    <s v="860421734-9"/>
    <x v="17"/>
    <n v="2459170"/>
    <s v="Calle 30 N° 35-18"/>
    <x v="8"/>
    <s v="GRAPADORA PEQUEÑA"/>
    <n v="37"/>
    <n v="30"/>
    <n v="2456"/>
    <n v="90872"/>
    <n v="4543.6000000000004"/>
    <n v="86328.4"/>
    <n v="0"/>
    <n v="3021.4940000000001"/>
    <n v="83306.905999999988"/>
    <x v="0"/>
    <s v="Mala Demanda"/>
  </r>
  <r>
    <n v="719"/>
    <s v="890310903-5"/>
    <x v="18"/>
    <n v="8213000"/>
    <s v="Calle 5 N° 3-85"/>
    <x v="0"/>
    <s v="BLOCK TAMAÑO CARTA"/>
    <n v="30"/>
    <n v="5"/>
    <n v="2400"/>
    <n v="72000"/>
    <n v="3240"/>
    <n v="68760"/>
    <n v="0"/>
    <n v="2406.6000000000004"/>
    <n v="66353.399999999994"/>
    <x v="1"/>
    <s v="Buena Demanda"/>
  </r>
  <r>
    <n v="720"/>
    <s v="890212433-5"/>
    <x v="19"/>
    <n v="3172267"/>
    <s v="Carrera 53 N° 59-70"/>
    <x v="7"/>
    <s v="CAJA DE LAPICEROS KILOMETRICO X 12 U"/>
    <n v="45"/>
    <n v="3"/>
    <n v="3500"/>
    <n v="157500"/>
    <n v="7875"/>
    <n v="149625"/>
    <n v="28428.75"/>
    <n v="5236.8750000000009"/>
    <n v="172816.875"/>
    <x v="0"/>
    <s v="Buena Demanda"/>
  </r>
  <r>
    <n v="721"/>
    <s v="823004609-9"/>
    <x v="20"/>
    <n v="6061101"/>
    <s v="Calle 70 N° 10 A-39"/>
    <x v="1"/>
    <s v="CARPETAS PARA ARCHIVO TAMAÑO OFICIO"/>
    <n v="32"/>
    <n v="30"/>
    <n v="7100"/>
    <n v="227200"/>
    <n v="11360"/>
    <n v="215840"/>
    <n v="41009.599999999999"/>
    <n v="7554.4000000000005"/>
    <n v="249295.2"/>
    <x v="1"/>
    <s v="Mala Demanda"/>
  </r>
  <r>
    <n v="722"/>
    <s v="890982134-3"/>
    <x v="21"/>
    <n v="2812282"/>
    <s v="Calle 27 N° 21-49"/>
    <x v="9"/>
    <s v="CARPETAS PARA ARCHIVO TAMAÑO CARTA"/>
    <n v="24"/>
    <n v="30"/>
    <n v="4500"/>
    <n v="108000"/>
    <n v="4860"/>
    <n v="103140"/>
    <n v="19596.599999999999"/>
    <n v="3609.9000000000005"/>
    <n v="119126.70000000001"/>
    <x v="0"/>
    <s v="Mala Demanda"/>
  </r>
  <r>
    <n v="723"/>
    <s v="892480054-9"/>
    <x v="22"/>
    <n v="2804017"/>
    <s v="Calle 21 N° 6-01"/>
    <x v="9"/>
    <s v="CARPETAS PARA ARCHIVO TAMAÑO CARTA"/>
    <n v="21"/>
    <n v="30"/>
    <n v="4500"/>
    <n v="94500"/>
    <n v="4252.5"/>
    <n v="90247.5"/>
    <n v="17147.025000000001"/>
    <n v="3158.6625000000004"/>
    <n v="104235.86249999999"/>
    <x v="1"/>
    <s v="Mala Demanda"/>
  </r>
  <r>
    <n v="724"/>
    <s v="891421189-6"/>
    <x v="23"/>
    <n v="3681013"/>
    <s v="Carrera 50 N° 79-155"/>
    <x v="5"/>
    <s v="MORRAL "/>
    <n v="26"/>
    <n v="30"/>
    <n v="24000"/>
    <n v="624000"/>
    <n v="28080"/>
    <n v="595920"/>
    <n v="113224.8"/>
    <n v="0"/>
    <n v="709144.8"/>
    <x v="0"/>
    <s v="Mala Demanda"/>
  </r>
  <r>
    <n v="725"/>
    <s v="8902704562-5"/>
    <x v="24"/>
    <n v="3489292"/>
    <s v="Calle 67 N° 5-27"/>
    <x v="0"/>
    <s v="MORRAL "/>
    <n v="39"/>
    <n v="30"/>
    <n v="24000"/>
    <n v="936000"/>
    <n v="46800"/>
    <n v="889200"/>
    <n v="168948"/>
    <n v="0"/>
    <n v="1058148"/>
    <x v="1"/>
    <s v="Mala Demanda"/>
  </r>
  <r>
    <n v="726"/>
    <s v="891204706-2"/>
    <x v="25"/>
    <n v="2916520"/>
    <s v="Calle 81 B N° 79-155"/>
    <x v="4"/>
    <s v="CRAYOLAS "/>
    <n v="41"/>
    <n v="4"/>
    <n v="1000"/>
    <n v="41000"/>
    <n v="2050"/>
    <n v="38950"/>
    <n v="0"/>
    <n v="1363.2500000000002"/>
    <n v="37586.75"/>
    <x v="0"/>
    <s v="Buena Demanda"/>
  </r>
  <r>
    <n v="727"/>
    <s v="893500248-9"/>
    <x v="26"/>
    <n v="5132100"/>
    <s v="Calle 51 N° 72 A-70"/>
    <x v="4"/>
    <s v="CAJA DE COLORES NORMA"/>
    <n v="43"/>
    <n v="7"/>
    <n v="9500"/>
    <n v="408500"/>
    <n v="20425"/>
    <n v="388075"/>
    <n v="73734.25"/>
    <n v="13582.625000000002"/>
    <n v="448226.625"/>
    <x v="1"/>
    <s v="Buena Demanda"/>
  </r>
  <r>
    <n v="728"/>
    <s v="860503837-7"/>
    <x v="27"/>
    <n v="7434343"/>
    <s v="Calle 76 N° 12-58"/>
    <x v="1"/>
    <s v="CRAYOLAS "/>
    <n v="22"/>
    <n v="5"/>
    <n v="1000"/>
    <n v="22000"/>
    <n v="990"/>
    <n v="21010"/>
    <n v="0"/>
    <n v="735.35"/>
    <n v="20274.650000000001"/>
    <x v="1"/>
    <s v="Buena Demanda"/>
  </r>
  <r>
    <n v="729"/>
    <s v="811005425-1"/>
    <x v="28"/>
    <n v="2320606"/>
    <s v="Carrera 19 N° 49-20"/>
    <x v="9"/>
    <s v="GRAPADORA MEDIANA"/>
    <n v="20"/>
    <n v="30"/>
    <n v="4708"/>
    <n v="94160"/>
    <n v="2824.7999999999997"/>
    <n v="91335.2"/>
    <n v="17353.687999999998"/>
    <n v="3196.7320000000004"/>
    <n v="105492.15599999999"/>
    <x v="0"/>
    <s v="Mala Demanda"/>
  </r>
  <r>
    <n v="730"/>
    <s v="860510627-6"/>
    <x v="29"/>
    <n v="2880693"/>
    <s v="Calle 9 N° 34-01"/>
    <x v="10"/>
    <s v="MORRAL "/>
    <n v="10"/>
    <n v="30"/>
    <n v="24000"/>
    <n v="240000"/>
    <n v="7200"/>
    <n v="232800"/>
    <n v="44232"/>
    <n v="8148.0000000000009"/>
    <n v="268884"/>
    <x v="0"/>
    <s v="Mala Demanda"/>
  </r>
  <r>
    <m/>
    <m/>
    <x v="30"/>
    <m/>
    <m/>
    <x v="11"/>
    <m/>
    <m/>
    <s v=""/>
    <m/>
    <m/>
    <m/>
    <m/>
    <m/>
    <m/>
    <m/>
    <x v="2"/>
    <m/>
  </r>
  <r>
    <m/>
    <m/>
    <x v="30"/>
    <m/>
    <m/>
    <x v="11"/>
    <m/>
    <m/>
    <s v=""/>
    <m/>
    <m/>
    <m/>
    <m/>
    <m/>
    <m/>
    <m/>
    <x v="2"/>
    <m/>
  </r>
  <r>
    <m/>
    <m/>
    <x v="30"/>
    <m/>
    <m/>
    <x v="11"/>
    <m/>
    <m/>
    <s v=""/>
    <m/>
    <m/>
    <m/>
    <m/>
    <m/>
    <m/>
    <m/>
    <x v="2"/>
    <m/>
  </r>
  <r>
    <m/>
    <m/>
    <x v="30"/>
    <m/>
    <m/>
    <x v="11"/>
    <m/>
    <m/>
    <s v=""/>
    <m/>
    <m/>
    <m/>
    <m/>
    <m/>
    <m/>
    <m/>
    <x v="2"/>
    <m/>
  </r>
  <r>
    <m/>
    <m/>
    <x v="30"/>
    <m/>
    <m/>
    <x v="11"/>
    <m/>
    <m/>
    <s v=""/>
    <m/>
    <m/>
    <m/>
    <m/>
    <m/>
    <m/>
    <m/>
    <x v="2"/>
    <m/>
  </r>
  <r>
    <m/>
    <m/>
    <x v="30"/>
    <m/>
    <m/>
    <x v="11"/>
    <m/>
    <m/>
    <s v=""/>
    <m/>
    <m/>
    <m/>
    <m/>
    <m/>
    <m/>
    <m/>
    <x v="2"/>
    <m/>
  </r>
  <r>
    <m/>
    <m/>
    <x v="30"/>
    <m/>
    <m/>
    <x v="11"/>
    <m/>
    <m/>
    <s v=""/>
    <m/>
    <m/>
    <m/>
    <m/>
    <m/>
    <m/>
    <m/>
    <x v="2"/>
    <m/>
  </r>
  <r>
    <m/>
    <m/>
    <x v="30"/>
    <m/>
    <m/>
    <x v="11"/>
    <m/>
    <m/>
    <s v=""/>
    <m/>
    <m/>
    <m/>
    <m/>
    <m/>
    <m/>
    <m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">
  <r>
    <n v="701"/>
    <s v="890980134-1"/>
    <x v="0"/>
    <n v="4445611"/>
    <s v="Carrera 78 N° 65-46"/>
    <x v="0"/>
    <x v="0"/>
    <n v="35"/>
    <x v="0"/>
    <n v="34890"/>
    <n v="1221150"/>
    <n v="61057.5"/>
    <n v="1160092.5"/>
    <n v="220417.57500000001"/>
    <n v="0"/>
    <n v="1380510.075"/>
    <x v="0"/>
    <s v="Buena Demanda"/>
  </r>
  <r>
    <n v="702"/>
    <s v="890480054-5"/>
    <x v="1"/>
    <n v="3293333"/>
    <s v="Avda 30 de Agosto N° 52-236"/>
    <x v="1"/>
    <x v="1"/>
    <n v="20"/>
    <x v="1"/>
    <n v="25678"/>
    <n v="513560"/>
    <n v="15406.8"/>
    <n v="498153.2"/>
    <n v="94649.108000000007"/>
    <n v="0"/>
    <n v="592802.30799999996"/>
    <x v="0"/>
    <s v="Mala Demanda"/>
  </r>
  <r>
    <n v="703"/>
    <s v="891411199-3"/>
    <x v="2"/>
    <n v="6642484"/>
    <s v="Centro Carrera 3 Calle de la factoria N°35-95"/>
    <x v="2"/>
    <x v="2"/>
    <n v="40"/>
    <x v="2"/>
    <n v="900"/>
    <n v="36000"/>
    <n v="1800"/>
    <n v="34200"/>
    <n v="0"/>
    <n v="1197.0000000000002"/>
    <n v="33003"/>
    <x v="1"/>
    <s v="Buena Demanda"/>
  </r>
  <r>
    <n v="704"/>
    <s v="8900704562-9"/>
    <x v="3"/>
    <n v="2134421"/>
    <s v="Calle 10 N° 29-93 "/>
    <x v="3"/>
    <x v="3"/>
    <n v="22"/>
    <x v="0"/>
    <n v="10900"/>
    <n v="239800"/>
    <n v="10791"/>
    <n v="229009"/>
    <n v="43511.71"/>
    <n v="8015.3150000000005"/>
    <n v="264505.39500000002"/>
    <x v="1"/>
    <s v="Buena Demanda"/>
  </r>
  <r>
    <n v="705"/>
    <s v="890203706-2"/>
    <x v="4"/>
    <n v="6525202"/>
    <s v="Calle 10 N° 3-95"/>
    <x v="0"/>
    <x v="4"/>
    <n v="43"/>
    <x v="3"/>
    <n v="7100"/>
    <n v="305300"/>
    <n v="15265"/>
    <n v="290035"/>
    <n v="55106.65"/>
    <n v="10151.225"/>
    <n v="334990.42500000005"/>
    <x v="1"/>
    <s v="Mala Demanda"/>
  </r>
  <r>
    <n v="706"/>
    <s v="891408248-5"/>
    <x v="5"/>
    <n v="6505400"/>
    <s v="Calle 74 N° 11-92"/>
    <x v="4"/>
    <x v="5"/>
    <n v="12"/>
    <x v="4"/>
    <n v="9500"/>
    <n v="114000"/>
    <n v="3420"/>
    <n v="110580"/>
    <n v="21010.2"/>
    <n v="3870.3"/>
    <n v="127719.90000000001"/>
    <x v="0"/>
    <s v="Buena Demanda"/>
  </r>
  <r>
    <n v="707"/>
    <s v="860066098-5"/>
    <x v="6"/>
    <n v="3400100"/>
    <s v="Carrera 14 N° 12-42"/>
    <x v="1"/>
    <x v="6"/>
    <n v="25"/>
    <x v="5"/>
    <n v="1000"/>
    <n v="25000"/>
    <n v="1125"/>
    <n v="23875"/>
    <n v="0"/>
    <n v="835.62500000000011"/>
    <n v="23039.375"/>
    <x v="0"/>
    <s v="Buena Demanda"/>
  </r>
  <r>
    <n v="708"/>
    <s v="860504543-1"/>
    <x v="7"/>
    <n v="5446573"/>
    <s v="Carrera 23 N° 63-36"/>
    <x v="1"/>
    <x v="7"/>
    <n v="15"/>
    <x v="3"/>
    <n v="4500"/>
    <n v="67500"/>
    <n v="2025"/>
    <n v="65475"/>
    <n v="0"/>
    <n v="2291.625"/>
    <n v="63183.375"/>
    <x v="0"/>
    <s v="Mala Demanda"/>
  </r>
  <r>
    <n v="709"/>
    <s v="8605008517-8"/>
    <x v="8"/>
    <n v="3689618"/>
    <s v="Calle 41 N° 27A-56"/>
    <x v="2"/>
    <x v="5"/>
    <n v="28"/>
    <x v="0"/>
    <n v="9500"/>
    <n v="266000"/>
    <n v="11970"/>
    <n v="254030"/>
    <n v="48265.7"/>
    <n v="8891.0500000000011"/>
    <n v="293404.65000000002"/>
    <x v="1"/>
    <s v="Buena Demanda"/>
  </r>
  <r>
    <n v="710"/>
    <s v="890985856-3"/>
    <x v="9"/>
    <n v="2451333"/>
    <s v="Calle 46 N° 13-43"/>
    <x v="5"/>
    <x v="0"/>
    <n v="35"/>
    <x v="6"/>
    <n v="34890"/>
    <n v="1221150"/>
    <n v="61057.5"/>
    <n v="1160092.5"/>
    <n v="220417.57500000001"/>
    <n v="0"/>
    <n v="1380510.075"/>
    <x v="1"/>
    <s v="Buena Demanda"/>
  </r>
  <r>
    <n v="711"/>
    <s v="800003863-5"/>
    <x v="10"/>
    <n v="2826786"/>
    <s v="Calle 19 N° 3-16"/>
    <x v="6"/>
    <x v="7"/>
    <n v="45"/>
    <x v="3"/>
    <n v="4500"/>
    <n v="202500"/>
    <n v="10125"/>
    <n v="192375"/>
    <n v="36551.25"/>
    <n v="6733.1250000000009"/>
    <n v="222193.125"/>
    <x v="0"/>
    <s v="Mala Demanda"/>
  </r>
  <r>
    <n v="712"/>
    <s v="860401734-9"/>
    <x v="11"/>
    <n v="4500040"/>
    <s v="Calle 48 N° 50-30"/>
    <x v="0"/>
    <x v="8"/>
    <n v="42"/>
    <x v="7"/>
    <n v="7654"/>
    <n v="321468"/>
    <n v="16073.400000000001"/>
    <n v="305394.59999999998"/>
    <n v="58024.973999999995"/>
    <n v="10688.811"/>
    <n v="352730.76299999998"/>
    <x v="0"/>
    <s v="Buena Demanda"/>
  </r>
  <r>
    <n v="713"/>
    <s v="864366098-5"/>
    <x v="12"/>
    <n v="3078180"/>
    <s v="Calle 34 N° 15-36"/>
    <x v="1"/>
    <x v="8"/>
    <n v="20"/>
    <x v="7"/>
    <n v="7654"/>
    <n v="153080"/>
    <n v="4592.3999999999996"/>
    <n v="148487.6"/>
    <n v="28212.644"/>
    <n v="5197.0660000000007"/>
    <n v="171503.17800000001"/>
    <x v="1"/>
    <s v="Buena Demanda"/>
  </r>
  <r>
    <n v="714"/>
    <s v="862504543-1"/>
    <x v="13"/>
    <n v="2321617"/>
    <s v="Calle 33 N° 11-50"/>
    <x v="7"/>
    <x v="9"/>
    <n v="29"/>
    <x v="8"/>
    <n v="2400"/>
    <n v="69600"/>
    <n v="3132"/>
    <n v="66468"/>
    <n v="0"/>
    <n v="2326.38"/>
    <n v="64141.62"/>
    <x v="0"/>
    <s v="Buena Demanda"/>
  </r>
  <r>
    <n v="715"/>
    <s v="8607108517-8"/>
    <x v="14"/>
    <n v="3232964"/>
    <s v="Carrera 9 N° 45 A-44"/>
    <x v="5"/>
    <x v="10"/>
    <n v="30"/>
    <x v="3"/>
    <n v="4708"/>
    <n v="141240"/>
    <n v="6355.8"/>
    <n v="134884.20000000001"/>
    <n v="25627.998000000003"/>
    <n v="4720.947000000001"/>
    <n v="155791.25099999999"/>
    <x v="1"/>
    <s v="Mala Demanda"/>
  </r>
  <r>
    <n v="716"/>
    <s v="891995856-3"/>
    <x v="15"/>
    <n v="7232452"/>
    <s v="Carrera 28 N° 19-24"/>
    <x v="4"/>
    <x v="9"/>
    <n v="25"/>
    <x v="9"/>
    <n v="2400"/>
    <n v="60000"/>
    <n v="2700"/>
    <n v="57300"/>
    <n v="0"/>
    <n v="2005.5000000000002"/>
    <n v="55294.5"/>
    <x v="0"/>
    <s v="Buena Demanda"/>
  </r>
  <r>
    <n v="717"/>
    <s v="800203863-5"/>
    <x v="16"/>
    <n v="8213000"/>
    <s v="Calle 5 N° 3-85"/>
    <x v="4"/>
    <x v="11"/>
    <n v="35"/>
    <x v="1"/>
    <n v="7680"/>
    <n v="268800"/>
    <n v="13440"/>
    <n v="255360"/>
    <n v="48518.400000000001"/>
    <n v="8937.6"/>
    <n v="294940.80000000005"/>
    <x v="1"/>
    <s v="Mala Demanda"/>
  </r>
  <r>
    <n v="718"/>
    <s v="860421734-9"/>
    <x v="17"/>
    <n v="2459170"/>
    <s v="Calle 30 N° 35-18"/>
    <x v="8"/>
    <x v="12"/>
    <n v="37"/>
    <x v="3"/>
    <n v="2456"/>
    <n v="90872"/>
    <n v="4543.6000000000004"/>
    <n v="86328.4"/>
    <n v="0"/>
    <n v="3021.4940000000001"/>
    <n v="83306.905999999988"/>
    <x v="0"/>
    <s v="Mala Demanda"/>
  </r>
  <r>
    <n v="719"/>
    <s v="890310903-5"/>
    <x v="18"/>
    <n v="8213000"/>
    <s v="Calle 5 N° 3-85"/>
    <x v="0"/>
    <x v="9"/>
    <n v="30"/>
    <x v="4"/>
    <n v="2400"/>
    <n v="72000"/>
    <n v="3240"/>
    <n v="68760"/>
    <n v="0"/>
    <n v="2406.6000000000004"/>
    <n v="66353.399999999994"/>
    <x v="1"/>
    <s v="Buena Demanda"/>
  </r>
  <r>
    <n v="720"/>
    <s v="890212433-5"/>
    <x v="19"/>
    <n v="3172267"/>
    <s v="Carrera 53 N° 59-70"/>
    <x v="7"/>
    <x v="13"/>
    <n v="45"/>
    <x v="5"/>
    <n v="3500"/>
    <n v="157500"/>
    <n v="7875"/>
    <n v="149625"/>
    <n v="28428.75"/>
    <n v="5236.8750000000009"/>
    <n v="172816.875"/>
    <x v="0"/>
    <s v="Buena Demanda"/>
  </r>
  <r>
    <n v="721"/>
    <s v="823004609-9"/>
    <x v="20"/>
    <n v="6061101"/>
    <s v="Calle 70 N° 10 A-39"/>
    <x v="1"/>
    <x v="4"/>
    <n v="32"/>
    <x v="3"/>
    <n v="7100"/>
    <n v="227200"/>
    <n v="11360"/>
    <n v="215840"/>
    <n v="41009.599999999999"/>
    <n v="7554.4000000000005"/>
    <n v="249295.2"/>
    <x v="1"/>
    <s v="Mala Demanda"/>
  </r>
  <r>
    <n v="722"/>
    <s v="890982134-3"/>
    <x v="21"/>
    <n v="2812282"/>
    <s v="Calle 27 N° 21-49"/>
    <x v="9"/>
    <x v="14"/>
    <n v="24"/>
    <x v="3"/>
    <n v="4500"/>
    <n v="108000"/>
    <n v="4860"/>
    <n v="103140"/>
    <n v="19596.599999999999"/>
    <n v="3609.9000000000005"/>
    <n v="119126.70000000001"/>
    <x v="0"/>
    <s v="Mala Demanda"/>
  </r>
  <r>
    <n v="723"/>
    <s v="892480054-9"/>
    <x v="22"/>
    <n v="2804017"/>
    <s v="Calle 21 N° 6-01"/>
    <x v="9"/>
    <x v="14"/>
    <n v="21"/>
    <x v="3"/>
    <n v="4500"/>
    <n v="94500"/>
    <n v="4252.5"/>
    <n v="90247.5"/>
    <n v="17147.025000000001"/>
    <n v="3158.6625000000004"/>
    <n v="104235.86249999999"/>
    <x v="1"/>
    <s v="Mala Demanda"/>
  </r>
  <r>
    <n v="724"/>
    <s v="891421189-6"/>
    <x v="23"/>
    <n v="3681013"/>
    <s v="Carrera 50 N° 79-155"/>
    <x v="5"/>
    <x v="15"/>
    <n v="26"/>
    <x v="3"/>
    <n v="24000"/>
    <n v="624000"/>
    <n v="28080"/>
    <n v="595920"/>
    <n v="113224.8"/>
    <n v="0"/>
    <n v="709144.8"/>
    <x v="0"/>
    <s v="Mala Demanda"/>
  </r>
  <r>
    <n v="725"/>
    <s v="8902704562-5"/>
    <x v="24"/>
    <n v="3489292"/>
    <s v="Calle 67 N° 5-27"/>
    <x v="0"/>
    <x v="15"/>
    <n v="39"/>
    <x v="3"/>
    <n v="24000"/>
    <n v="936000"/>
    <n v="46800"/>
    <n v="889200"/>
    <n v="168948"/>
    <n v="0"/>
    <n v="1058148"/>
    <x v="1"/>
    <s v="Mala Demanda"/>
  </r>
  <r>
    <n v="726"/>
    <s v="891204706-2"/>
    <x v="25"/>
    <n v="2916520"/>
    <s v="Calle 81 B N° 79-155"/>
    <x v="4"/>
    <x v="16"/>
    <n v="41"/>
    <x v="7"/>
    <n v="1000"/>
    <n v="41000"/>
    <n v="2050"/>
    <n v="38950"/>
    <n v="0"/>
    <n v="1363.2500000000002"/>
    <n v="37586.75"/>
    <x v="0"/>
    <s v="Buena Demanda"/>
  </r>
  <r>
    <n v="727"/>
    <s v="893500248-9"/>
    <x v="26"/>
    <n v="5132100"/>
    <s v="Calle 51 N° 72 A-70"/>
    <x v="4"/>
    <x v="5"/>
    <n v="43"/>
    <x v="9"/>
    <n v="9500"/>
    <n v="408500"/>
    <n v="20425"/>
    <n v="388075"/>
    <n v="73734.25"/>
    <n v="13582.625000000002"/>
    <n v="448226.625"/>
    <x v="1"/>
    <s v="Buena Demanda"/>
  </r>
  <r>
    <n v="728"/>
    <s v="860503837-7"/>
    <x v="27"/>
    <n v="7434343"/>
    <s v="Calle 76 N° 12-58"/>
    <x v="1"/>
    <x v="16"/>
    <n v="22"/>
    <x v="4"/>
    <n v="1000"/>
    <n v="22000"/>
    <n v="990"/>
    <n v="21010"/>
    <n v="0"/>
    <n v="735.35"/>
    <n v="20274.650000000001"/>
    <x v="1"/>
    <s v="Buena Demanda"/>
  </r>
  <r>
    <n v="729"/>
    <s v="811005425-1"/>
    <x v="28"/>
    <n v="2320606"/>
    <s v="Carrera 19 N° 49-20"/>
    <x v="9"/>
    <x v="10"/>
    <n v="20"/>
    <x v="3"/>
    <n v="4708"/>
    <n v="94160"/>
    <n v="2824.7999999999997"/>
    <n v="91335.2"/>
    <n v="17353.687999999998"/>
    <n v="3196.7320000000004"/>
    <n v="105492.15599999999"/>
    <x v="0"/>
    <s v="Mala Demanda"/>
  </r>
  <r>
    <n v="730"/>
    <s v="860510627-6"/>
    <x v="29"/>
    <n v="2880693"/>
    <s v="Calle 9 N° 34-01"/>
    <x v="10"/>
    <x v="15"/>
    <n v="10"/>
    <x v="3"/>
    <n v="24000"/>
    <n v="240000"/>
    <n v="7200"/>
    <n v="232800"/>
    <n v="44232"/>
    <n v="8148.0000000000009"/>
    <n v="268884"/>
    <x v="0"/>
    <s v="Mala Demanda"/>
  </r>
  <r>
    <m/>
    <m/>
    <x v="30"/>
    <m/>
    <m/>
    <x v="11"/>
    <x v="17"/>
    <m/>
    <x v="10"/>
    <m/>
    <m/>
    <m/>
    <m/>
    <m/>
    <m/>
    <m/>
    <x v="2"/>
    <m/>
  </r>
  <r>
    <m/>
    <m/>
    <x v="30"/>
    <m/>
    <m/>
    <x v="11"/>
    <x v="17"/>
    <m/>
    <x v="10"/>
    <m/>
    <m/>
    <m/>
    <m/>
    <m/>
    <m/>
    <m/>
    <x v="2"/>
    <m/>
  </r>
  <r>
    <m/>
    <m/>
    <x v="30"/>
    <m/>
    <m/>
    <x v="11"/>
    <x v="17"/>
    <m/>
    <x v="10"/>
    <m/>
    <m/>
    <m/>
    <m/>
    <m/>
    <m/>
    <m/>
    <x v="2"/>
    <m/>
  </r>
  <r>
    <m/>
    <m/>
    <x v="30"/>
    <m/>
    <m/>
    <x v="11"/>
    <x v="17"/>
    <m/>
    <x v="10"/>
    <m/>
    <m/>
    <m/>
    <m/>
    <m/>
    <m/>
    <m/>
    <x v="2"/>
    <m/>
  </r>
  <r>
    <m/>
    <m/>
    <x v="30"/>
    <m/>
    <m/>
    <x v="11"/>
    <x v="17"/>
    <m/>
    <x v="10"/>
    <m/>
    <m/>
    <m/>
    <m/>
    <m/>
    <m/>
    <m/>
    <x v="2"/>
    <m/>
  </r>
  <r>
    <m/>
    <m/>
    <x v="30"/>
    <m/>
    <m/>
    <x v="11"/>
    <x v="17"/>
    <m/>
    <x v="10"/>
    <m/>
    <m/>
    <m/>
    <m/>
    <m/>
    <m/>
    <m/>
    <x v="2"/>
    <m/>
  </r>
  <r>
    <m/>
    <m/>
    <x v="30"/>
    <m/>
    <m/>
    <x v="11"/>
    <x v="17"/>
    <m/>
    <x v="10"/>
    <m/>
    <m/>
    <m/>
    <m/>
    <m/>
    <m/>
    <m/>
    <x v="2"/>
    <m/>
  </r>
  <r>
    <m/>
    <m/>
    <x v="30"/>
    <m/>
    <m/>
    <x v="11"/>
    <x v="17"/>
    <m/>
    <x v="10"/>
    <m/>
    <m/>
    <m/>
    <m/>
    <m/>
    <m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35" firstHeaderRow="1" firstDataRow="1" firstDataCol="1"/>
  <pivotFields count="18">
    <pivotField showAll="0"/>
    <pivotField showAll="0"/>
    <pivotField axis="axisRow" showAll="0" sortType="descending">
      <items count="32">
        <item x="14"/>
        <item x="0"/>
        <item x="13"/>
        <item x="1"/>
        <item x="2"/>
        <item x="3"/>
        <item x="5"/>
        <item x="7"/>
        <item x="6"/>
        <item x="9"/>
        <item x="10"/>
        <item x="12"/>
        <item x="17"/>
        <item x="15"/>
        <item x="22"/>
        <item x="16"/>
        <item x="20"/>
        <item x="27"/>
        <item x="21"/>
        <item x="26"/>
        <item x="4"/>
        <item x="23"/>
        <item x="18"/>
        <item x="25"/>
        <item x="28"/>
        <item x="29"/>
        <item x="24"/>
        <item x="8"/>
        <item x="11"/>
        <item x="19"/>
        <item x="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2"/>
  </rowFields>
  <rowItems count="32">
    <i>
      <x v="1"/>
    </i>
    <i>
      <x v="9"/>
    </i>
    <i>
      <x v="26"/>
    </i>
    <i>
      <x v="21"/>
    </i>
    <i>
      <x v="3"/>
    </i>
    <i>
      <x v="19"/>
    </i>
    <i>
      <x v="28"/>
    </i>
    <i>
      <x v="20"/>
    </i>
    <i>
      <x v="15"/>
    </i>
    <i>
      <x v="27"/>
    </i>
    <i>
      <x v="25"/>
    </i>
    <i>
      <x v="5"/>
    </i>
    <i>
      <x v="16"/>
    </i>
    <i>
      <x v="10"/>
    </i>
    <i>
      <x v="29"/>
    </i>
    <i>
      <x v="11"/>
    </i>
    <i>
      <x/>
    </i>
    <i>
      <x v="6"/>
    </i>
    <i>
      <x v="18"/>
    </i>
    <i>
      <x v="24"/>
    </i>
    <i>
      <x v="14"/>
    </i>
    <i>
      <x v="12"/>
    </i>
    <i>
      <x v="22"/>
    </i>
    <i>
      <x v="2"/>
    </i>
    <i>
      <x v="7"/>
    </i>
    <i>
      <x v="13"/>
    </i>
    <i>
      <x v="23"/>
    </i>
    <i>
      <x v="4"/>
    </i>
    <i>
      <x v="8"/>
    </i>
    <i>
      <x v="17"/>
    </i>
    <i>
      <x v="30"/>
    </i>
    <i t="grand">
      <x/>
    </i>
  </rowItems>
  <colItems count="1">
    <i/>
  </colItems>
  <dataFields count="1">
    <dataField name="Suma de TOTAL A PAGAR" fld="15" baseField="2" baseItem="0"/>
  </dataFields>
  <formats count="2">
    <format dxfId="21">
      <pivotArea collapsedLevelsAreSubtotals="1" fieldPosition="0">
        <references count="1">
          <reference field="2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2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1:D33" firstHeaderRow="1" firstDataRow="2" firstDataCol="1"/>
  <pivotFields count="18">
    <pivotField showAll="0"/>
    <pivotField showAll="0"/>
    <pivotField axis="axisRow" showAll="0">
      <items count="32">
        <item x="14"/>
        <item x="0"/>
        <item x="13"/>
        <item x="1"/>
        <item x="2"/>
        <item x="3"/>
        <item x="5"/>
        <item x="7"/>
        <item x="6"/>
        <item x="9"/>
        <item x="10"/>
        <item x="12"/>
        <item x="17"/>
        <item x="15"/>
        <item x="22"/>
        <item x="16"/>
        <item x="20"/>
        <item x="27"/>
        <item x="21"/>
        <item x="26"/>
        <item x="4"/>
        <item x="23"/>
        <item x="18"/>
        <item x="25"/>
        <item x="28"/>
        <item x="29"/>
        <item x="24"/>
        <item x="8"/>
        <item x="11"/>
        <item x="19"/>
        <item x="30"/>
        <item t="default"/>
      </items>
    </pivotField>
    <pivotField showAll="0"/>
    <pivotField showAll="0"/>
    <pivotField showAll="0">
      <items count="13">
        <item x="0"/>
        <item x="8"/>
        <item x="10"/>
        <item x="2"/>
        <item x="4"/>
        <item x="7"/>
        <item x="1"/>
        <item x="6"/>
        <item x="9"/>
        <item x="3"/>
        <item x="5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4">
        <item h="1" x="2"/>
        <item x="0"/>
        <item x="1"/>
        <item t="default"/>
      </items>
    </pivotField>
    <pivotField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16"/>
  </colFields>
  <colItems count="3">
    <i>
      <x v="1"/>
    </i>
    <i>
      <x v="2"/>
    </i>
    <i t="grand">
      <x/>
    </i>
  </colItems>
  <dataFields count="1">
    <dataField name="Suma de TOTAL A PAGAR" fld="15" baseField="2" baseItem="0" numFmtId="166"/>
  </dataFields>
  <formats count="1">
    <format dxfId="19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16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6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6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3">
  <location ref="H1:I7" firstHeaderRow="1" firstDataRow="1" firstDataCol="1"/>
  <pivotFields count="18">
    <pivotField showAll="0"/>
    <pivotField showAll="0"/>
    <pivotField showAll="0"/>
    <pivotField showAll="0"/>
    <pivotField showAll="0"/>
    <pivotField showAll="0">
      <items count="13">
        <item x="0"/>
        <item x="8"/>
        <item x="10"/>
        <item x="2"/>
        <item x="4"/>
        <item x="7"/>
        <item x="1"/>
        <item x="6"/>
        <item x="9"/>
        <item x="3"/>
        <item x="5"/>
        <item x="11"/>
        <item t="default"/>
      </items>
    </pivotField>
    <pivotField axis="axisRow" showAll="0" measureFilter="1" sortType="descending">
      <items count="19">
        <item x="9"/>
        <item x="5"/>
        <item x="13"/>
        <item x="1"/>
        <item x="0"/>
        <item x="11"/>
        <item x="14"/>
        <item x="4"/>
        <item x="16"/>
        <item x="3"/>
        <item x="10"/>
        <item x="12"/>
        <item x="7"/>
        <item x="15"/>
        <item x="8"/>
        <item x="2"/>
        <item x="6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6"/>
  </rowFields>
  <rowItems count="6">
    <i>
      <x v="4"/>
    </i>
    <i>
      <x v="13"/>
    </i>
    <i>
      <x v="1"/>
    </i>
    <i>
      <x v="3"/>
    </i>
    <i>
      <x v="7"/>
    </i>
    <i t="grand">
      <x/>
    </i>
  </rowItems>
  <colItems count="1">
    <i/>
  </colItems>
  <dataFields count="1">
    <dataField name="Total Ventas" fld="15" baseField="6" baseItem="0" numFmtId="16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6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5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D1:E7" firstHeaderRow="1" firstDataRow="1" firstDataCol="1"/>
  <pivotFields count="18">
    <pivotField showAll="0"/>
    <pivotField showAll="0"/>
    <pivotField axis="axisRow" showAll="0" measureFilter="1" sortType="descending">
      <items count="32">
        <item x="14"/>
        <item x="0"/>
        <item x="13"/>
        <item x="1"/>
        <item x="2"/>
        <item x="3"/>
        <item x="5"/>
        <item x="7"/>
        <item x="6"/>
        <item x="9"/>
        <item x="10"/>
        <item x="12"/>
        <item x="17"/>
        <item x="15"/>
        <item x="22"/>
        <item x="16"/>
        <item x="20"/>
        <item x="27"/>
        <item x="21"/>
        <item x="26"/>
        <item x="4"/>
        <item x="23"/>
        <item x="18"/>
        <item x="25"/>
        <item x="28"/>
        <item x="29"/>
        <item x="24"/>
        <item x="8"/>
        <item x="11"/>
        <item x="19"/>
        <item x="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>
      <items count="13">
        <item x="0"/>
        <item x="8"/>
        <item x="10"/>
        <item x="2"/>
        <item x="4"/>
        <item x="7"/>
        <item x="1"/>
        <item x="6"/>
        <item x="9"/>
        <item x="3"/>
        <item x="5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2"/>
  </rowFields>
  <rowItems count="6">
    <i>
      <x v="1"/>
    </i>
    <i>
      <x v="9"/>
    </i>
    <i>
      <x v="26"/>
    </i>
    <i>
      <x v="21"/>
    </i>
    <i>
      <x v="3"/>
    </i>
    <i t="grand">
      <x/>
    </i>
  </rowItems>
  <colItems count="1">
    <i/>
  </colItems>
  <dataFields count="1">
    <dataField name="Total Ventas" fld="15" baseField="2" baseItem="0"/>
  </dataFields>
  <formats count="3">
    <format dxfId="4">
      <pivotArea collapsedLevelsAreSubtotals="1" fieldPosition="0">
        <references count="1">
          <reference field="2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2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1:A2" firstHeaderRow="1" firstDataRow="1" firstDataCol="0"/>
  <pivotFields count="18">
    <pivotField showAll="0"/>
    <pivotField showAll="0"/>
    <pivotField showAll="0"/>
    <pivotField showAll="0"/>
    <pivotField showAll="0"/>
    <pivotField showAll="0">
      <items count="13">
        <item x="0"/>
        <item x="8"/>
        <item x="10"/>
        <item x="2"/>
        <item x="4"/>
        <item x="7"/>
        <item x="1"/>
        <item x="6"/>
        <item x="9"/>
        <item x="3"/>
        <item x="5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Items count="1">
    <i/>
  </rowItems>
  <colItems count="1">
    <i/>
  </colItems>
  <dataFields count="1">
    <dataField name="Total ventas" fld="15" baseField="0" baseItem="13365464" numFmtId="166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7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3">
  <location ref="L1:M4" firstHeaderRow="1" firstDataRow="1" firstDataCol="1"/>
  <pivotFields count="18">
    <pivotField showAll="0"/>
    <pivotField showAll="0"/>
    <pivotField showAll="0"/>
    <pivotField showAll="0"/>
    <pivotField showAll="0"/>
    <pivotField showAll="0">
      <items count="13">
        <item x="0"/>
        <item x="8"/>
        <item x="10"/>
        <item x="2"/>
        <item x="4"/>
        <item x="7"/>
        <item x="1"/>
        <item x="6"/>
        <item x="9"/>
        <item x="3"/>
        <item x="5"/>
        <item x="11"/>
        <item t="default"/>
      </items>
    </pivotField>
    <pivotField showAll="0"/>
    <pivotField showAll="0"/>
    <pivotField showAll="0">
      <items count="12">
        <item x="8"/>
        <item x="5"/>
        <item x="7"/>
        <item x="4"/>
        <item x="6"/>
        <item x="9"/>
        <item x="0"/>
        <item x="2"/>
        <item x="1"/>
        <item x="3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axis="axisRow" showAll="0" sortType="descending">
      <items count="4">
        <item h="1" x="2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16"/>
  </rowFields>
  <rowItems count="3">
    <i>
      <x v="2"/>
    </i>
    <i>
      <x v="1"/>
    </i>
    <i t="grand">
      <x/>
    </i>
  </rowItems>
  <colItems count="1">
    <i/>
  </colItems>
  <dataFields count="1">
    <dataField name="Total Ventas" fld="15" baseField="16" baseItem="0" numFmtId="166"/>
  </dataFields>
  <formats count="2">
    <format dxfId="7">
      <pivotArea outline="0" collapsedLevelsAreSubtotals="1" fieldPosition="0"/>
    </format>
    <format dxfId="6">
      <pivotArea dataOnly="0" labelOnly="1" outline="0" axis="axisValues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PARTAMENTO" sourceName="DEPARTAMENTO">
  <pivotTables>
    <pivotTable tabId="18" name="Tabla dinámica3"/>
  </pivotTables>
  <data>
    <tabular pivotCacheId="1">
      <items count="12">
        <i x="0" s="1"/>
        <i x="8" s="1"/>
        <i x="10" s="1"/>
        <i x="2" s="1"/>
        <i x="4" s="1"/>
        <i x="7" s="1"/>
        <i x="1" s="1"/>
        <i x="6" s="1"/>
        <i x="9" s="1"/>
        <i x="3" s="1"/>
        <i x="5" s="1"/>
        <i x="1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PARTAMENTO1" sourceName="DEPARTAMENTO">
  <pivotTables>
    <pivotTable tabId="6" name="Tabla dinámica7"/>
    <pivotTable tabId="6" name="Tabla dinámica4"/>
    <pivotTable tabId="6" name="Tabla dinámica5"/>
    <pivotTable tabId="6" name="Tabla dinámica6"/>
  </pivotTables>
  <data>
    <tabular pivotCacheId="2">
      <items count="12">
        <i x="0" s="1"/>
        <i x="8" s="1"/>
        <i x="10" s="1"/>
        <i x="2" s="1"/>
        <i x="4" s="1"/>
        <i x="7" s="1"/>
        <i x="1" s="1"/>
        <i x="6" s="1"/>
        <i x="9" s="1"/>
        <i x="3" s="1"/>
        <i x="5" s="1"/>
        <i x="1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EPARTAMENTO" cache="SegmentaciónDeDatos_DEPARTAMENTO" caption="DEPARTAMENTO" startItem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EPARTAMENTO 1" cache="SegmentaciónDeDatos_DEPARTAMENTO1" caption="DEPARTAMENTO" startItem="6" rowHeight="241300"/>
</slicers>
</file>

<file path=xl/tables/table1.xml><?xml version="1.0" encoding="utf-8"?>
<table xmlns="http://schemas.openxmlformats.org/spreadsheetml/2006/main" id="1" name="Tabla1" displayName="Tabla1" ref="A6:R44" totalsRowShown="0" headerRowDxfId="32" headerRowBorderDxfId="31" tableBorderDxfId="30">
  <autoFilter ref="A6:R44"/>
  <tableColumns count="18">
    <tableColumn id="1" name="FACTURA"/>
    <tableColumn id="2" name="NIT"/>
    <tableColumn id="3" name="CLIENTE"/>
    <tableColumn id="4" name="TELÉFONO"/>
    <tableColumn id="5" name="DIRECCIÓN"/>
    <tableColumn id="6" name="DEPARTAMENTO"/>
    <tableColumn id="7" name="PRODUCTO"/>
    <tableColumn id="8" name="CANTIDAD"/>
    <tableColumn id="9" name="FRECUENCIA DE COMPRA EN DIAS" dataDxfId="29">
      <calculatedColumnFormula>IF(ISBLANK(A7),"",IF(ISERROR(VLOOKUP(A7,bdpapeleria,9,FALSE)),"El dato no existe",VLOOKUP(A7,bdpapeleria,9,FALSE)))</calculatedColumnFormula>
    </tableColumn>
    <tableColumn id="10" name="V/ UNITARIO"/>
    <tableColumn id="11" name="VALOR BRUTO "/>
    <tableColumn id="12" name="DESCUENTO" dataDxfId="28" dataCellStyle="Millares"/>
    <tableColumn id="13" name="SUBTOTAL" dataDxfId="27" dataCellStyle="Millares"/>
    <tableColumn id="14" name="IVA" dataDxfId="26" dataCellStyle="Moneda"/>
    <tableColumn id="15" name="R/FUENTE" dataDxfId="25" dataCellStyle="Millares"/>
    <tableColumn id="16" name="TOTAL A PAGAR" dataDxfId="24" dataCellStyle="Millares"/>
    <tableColumn id="17" name="FORMA DE PAGO" dataDxfId="23" dataCellStyle="Millares">
      <calculatedColumnFormula>IF(ISBLANK(A7),"",IF(ISERROR(VLOOKUP(A7,bdpapeleria,11,FALSE)),"El dato no existe",VLOOKUP(A7,bdpapeleria,11,FALSE)))</calculatedColumnFormula>
    </tableColumn>
    <tableColumn id="18" name="RESULTADOS OBTENIDOS" dataDxfId="22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6:R44" totalsRowShown="0" headerRowDxfId="18" headerRowBorderDxfId="17" tableBorderDxfId="16">
  <autoFilter ref="A6:R44"/>
  <tableColumns count="18">
    <tableColumn id="1" name="FACTURA"/>
    <tableColumn id="2" name="NIT"/>
    <tableColumn id="3" name="CLIENTE"/>
    <tableColumn id="4" name="TELÉFONO"/>
    <tableColumn id="5" name="DIRECCIÓN"/>
    <tableColumn id="6" name="DEPARTAMENTO"/>
    <tableColumn id="7" name="PRODUCTO"/>
    <tableColumn id="8" name="CANTIDAD"/>
    <tableColumn id="9" name="FRECUENCIA DE COMPRA EN DIAS" dataDxfId="15">
      <calculatedColumnFormula>IF(ISBLANK(A7),"",IF(ISERROR(VLOOKUP(A7,bdpapeleria,9,FALSE)),"El dato no existe",VLOOKUP(A7,bdpapeleria,9,FALSE)))</calculatedColumnFormula>
    </tableColumn>
    <tableColumn id="10" name="V/ UNITARIO"/>
    <tableColumn id="11" name="VALOR BRUTO "/>
    <tableColumn id="12" name="DESCUENTO" dataDxfId="14" dataCellStyle="Millares"/>
    <tableColumn id="13" name="SUBTOTAL" dataDxfId="13" dataCellStyle="Millares"/>
    <tableColumn id="14" name="IVA" dataDxfId="12" dataCellStyle="Moneda"/>
    <tableColumn id="15" name="R/FUENTE" dataDxfId="11" dataCellStyle="Millares"/>
    <tableColumn id="16" name="TOTAL A PAGAR" dataDxfId="10" dataCellStyle="Millares"/>
    <tableColumn id="17" name="FORMA DE PAGO" dataDxfId="9" dataCellStyle="Millares">
      <calculatedColumnFormula>IF(ISBLANK(A7),"",IF(ISERROR(VLOOKUP(A7,bdpapeleria,11,FALSE)),"El dato no existe",VLOOKUP(A7,bdpapeleria,11,FALSE)))</calculatedColumnFormula>
    </tableColumn>
    <tableColumn id="18" name="RESULTADOS OBTENIDOS" dataDxfId="8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openxmlformats.org/officeDocument/2006/relationships/pivotTable" Target="../pivotTables/pivotTable6.xml"/></Relationships>
</file>

<file path=xl/worksheets/_rels/sheet14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E30" workbookViewId="0">
      <selection activeCell="F36" sqref="F36"/>
    </sheetView>
  </sheetViews>
  <sheetFormatPr baseColWidth="10" defaultRowHeight="15" x14ac:dyDescent="0.25"/>
  <cols>
    <col min="1" max="10" width="18.28515625" customWidth="1"/>
    <col min="11" max="11" width="16.855468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5"/>
      <c r="M1" s="25"/>
      <c r="N1" s="25"/>
      <c r="O1" s="25"/>
      <c r="P1" s="25"/>
    </row>
    <row r="2" spans="1:16" ht="33.75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26"/>
      <c r="M2" s="26"/>
      <c r="N2" s="26"/>
      <c r="O2" s="26"/>
      <c r="P2" s="26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5"/>
      <c r="M3" s="25"/>
      <c r="N3" s="25"/>
      <c r="O3" s="25"/>
      <c r="P3" s="25"/>
    </row>
    <row r="4" spans="1:16" ht="31.5" x14ac:dyDescent="0.5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27"/>
      <c r="M4" s="27"/>
      <c r="N4" s="27"/>
      <c r="O4" s="27"/>
      <c r="P4" s="27"/>
    </row>
    <row r="5" spans="1:16" x14ac:dyDescent="0.25">
      <c r="A5" s="2" t="s">
        <v>2</v>
      </c>
      <c r="B5" s="2" t="s">
        <v>88</v>
      </c>
      <c r="C5" s="2" t="s">
        <v>3</v>
      </c>
      <c r="D5" s="2" t="s">
        <v>90</v>
      </c>
      <c r="E5" s="2" t="s">
        <v>89</v>
      </c>
      <c r="F5" s="2" t="s">
        <v>22</v>
      </c>
      <c r="G5" s="2" t="s">
        <v>4</v>
      </c>
      <c r="H5" s="2" t="s">
        <v>5</v>
      </c>
      <c r="I5" s="2" t="s">
        <v>162</v>
      </c>
      <c r="J5" s="2" t="s">
        <v>6</v>
      </c>
      <c r="K5" s="24" t="s">
        <v>91</v>
      </c>
    </row>
    <row r="6" spans="1:16" s="22" customFormat="1" ht="44.25" customHeight="1" x14ac:dyDescent="0.25">
      <c r="A6" s="11">
        <v>701</v>
      </c>
      <c r="B6" s="11" t="s">
        <v>103</v>
      </c>
      <c r="C6" s="8" t="s">
        <v>43</v>
      </c>
      <c r="D6" s="8">
        <v>4445611</v>
      </c>
      <c r="E6" s="8" t="s">
        <v>133</v>
      </c>
      <c r="F6" s="8" t="s">
        <v>23</v>
      </c>
      <c r="G6" s="8" t="s">
        <v>33</v>
      </c>
      <c r="H6" s="12">
        <v>35</v>
      </c>
      <c r="I6" s="12">
        <v>8</v>
      </c>
      <c r="J6" s="21">
        <v>34890</v>
      </c>
      <c r="K6" s="23" t="s">
        <v>92</v>
      </c>
    </row>
    <row r="7" spans="1:16" s="22" customFormat="1" ht="44.25" customHeight="1" x14ac:dyDescent="0.25">
      <c r="A7" s="11">
        <v>702</v>
      </c>
      <c r="B7" s="11" t="s">
        <v>104</v>
      </c>
      <c r="C7" s="8" t="s">
        <v>44</v>
      </c>
      <c r="D7" s="8">
        <v>3293333</v>
      </c>
      <c r="E7" s="8" t="s">
        <v>134</v>
      </c>
      <c r="F7" s="8" t="s">
        <v>24</v>
      </c>
      <c r="G7" s="8" t="s">
        <v>13</v>
      </c>
      <c r="H7" s="12">
        <v>20</v>
      </c>
      <c r="I7" s="12">
        <v>15</v>
      </c>
      <c r="J7" s="21">
        <v>25678</v>
      </c>
      <c r="K7" s="23" t="s">
        <v>92</v>
      </c>
    </row>
    <row r="8" spans="1:16" s="22" customFormat="1" ht="44.25" customHeight="1" x14ac:dyDescent="0.25">
      <c r="A8" s="11">
        <v>703</v>
      </c>
      <c r="B8" s="11" t="s">
        <v>105</v>
      </c>
      <c r="C8" s="8" t="s">
        <v>45</v>
      </c>
      <c r="D8" s="8">
        <v>6642484</v>
      </c>
      <c r="E8" s="8" t="s">
        <v>135</v>
      </c>
      <c r="F8" s="8" t="s">
        <v>25</v>
      </c>
      <c r="G8" s="8" t="s">
        <v>34</v>
      </c>
      <c r="H8" s="12">
        <v>40</v>
      </c>
      <c r="I8" s="12">
        <v>10</v>
      </c>
      <c r="J8" s="21">
        <v>900</v>
      </c>
      <c r="K8" s="23" t="s">
        <v>93</v>
      </c>
    </row>
    <row r="9" spans="1:16" s="22" customFormat="1" ht="44.25" customHeight="1" x14ac:dyDescent="0.25">
      <c r="A9" s="11">
        <v>704</v>
      </c>
      <c r="B9" s="11" t="s">
        <v>106</v>
      </c>
      <c r="C9" s="8" t="s">
        <v>46</v>
      </c>
      <c r="D9" s="8">
        <v>2134421</v>
      </c>
      <c r="E9" s="8" t="s">
        <v>136</v>
      </c>
      <c r="F9" s="12" t="s">
        <v>26</v>
      </c>
      <c r="G9" s="12" t="s">
        <v>35</v>
      </c>
      <c r="H9" s="12">
        <v>22</v>
      </c>
      <c r="I9" s="12">
        <v>8</v>
      </c>
      <c r="J9" s="21">
        <v>10900</v>
      </c>
      <c r="K9" s="23" t="s">
        <v>93</v>
      </c>
    </row>
    <row r="10" spans="1:16" s="22" customFormat="1" ht="44.25" customHeight="1" x14ac:dyDescent="0.25">
      <c r="A10" s="11">
        <v>705</v>
      </c>
      <c r="B10" s="11" t="s">
        <v>107</v>
      </c>
      <c r="C10" s="8" t="s">
        <v>47</v>
      </c>
      <c r="D10" s="8">
        <v>6525202</v>
      </c>
      <c r="E10" s="8" t="s">
        <v>137</v>
      </c>
      <c r="F10" s="12" t="s">
        <v>23</v>
      </c>
      <c r="G10" s="8" t="s">
        <v>36</v>
      </c>
      <c r="H10" s="12">
        <v>43</v>
      </c>
      <c r="I10" s="12">
        <v>30</v>
      </c>
      <c r="J10" s="21">
        <v>7100</v>
      </c>
      <c r="K10" s="23" t="s">
        <v>93</v>
      </c>
    </row>
    <row r="11" spans="1:16" s="22" customFormat="1" ht="44.25" customHeight="1" x14ac:dyDescent="0.25">
      <c r="A11" s="11">
        <v>706</v>
      </c>
      <c r="B11" s="11" t="s">
        <v>108</v>
      </c>
      <c r="C11" s="8" t="s">
        <v>48</v>
      </c>
      <c r="D11" s="8">
        <v>6505400</v>
      </c>
      <c r="E11" s="8" t="s">
        <v>138</v>
      </c>
      <c r="F11" s="8" t="s">
        <v>27</v>
      </c>
      <c r="G11" s="8" t="s">
        <v>37</v>
      </c>
      <c r="H11" s="12">
        <v>12</v>
      </c>
      <c r="I11" s="12">
        <v>5</v>
      </c>
      <c r="J11" s="21">
        <v>9500</v>
      </c>
      <c r="K11" s="23" t="s">
        <v>92</v>
      </c>
    </row>
    <row r="12" spans="1:16" s="22" customFormat="1" ht="44.25" customHeight="1" x14ac:dyDescent="0.25">
      <c r="A12" s="11">
        <v>707</v>
      </c>
      <c r="B12" s="11" t="s">
        <v>109</v>
      </c>
      <c r="C12" s="8" t="s">
        <v>49</v>
      </c>
      <c r="D12" s="8">
        <v>3400100</v>
      </c>
      <c r="E12" s="8" t="s">
        <v>139</v>
      </c>
      <c r="F12" s="8" t="s">
        <v>24</v>
      </c>
      <c r="G12" s="8" t="s">
        <v>14</v>
      </c>
      <c r="H12" s="12">
        <v>25</v>
      </c>
      <c r="I12" s="12">
        <v>3</v>
      </c>
      <c r="J12" s="21">
        <v>1000</v>
      </c>
      <c r="K12" s="23" t="s">
        <v>92</v>
      </c>
    </row>
    <row r="13" spans="1:16" s="22" customFormat="1" ht="44.25" customHeight="1" x14ac:dyDescent="0.25">
      <c r="A13" s="11">
        <v>708</v>
      </c>
      <c r="B13" s="11" t="s">
        <v>110</v>
      </c>
      <c r="C13" s="8" t="s">
        <v>50</v>
      </c>
      <c r="D13" s="8">
        <v>5446573</v>
      </c>
      <c r="E13" s="8" t="s">
        <v>140</v>
      </c>
      <c r="F13" s="8" t="s">
        <v>24</v>
      </c>
      <c r="G13" s="8" t="s">
        <v>15</v>
      </c>
      <c r="H13" s="12">
        <v>15</v>
      </c>
      <c r="I13" s="12">
        <v>30</v>
      </c>
      <c r="J13" s="21">
        <v>4500</v>
      </c>
      <c r="K13" s="23" t="s">
        <v>92</v>
      </c>
    </row>
    <row r="14" spans="1:16" s="22" customFormat="1" ht="44.25" customHeight="1" x14ac:dyDescent="0.25">
      <c r="A14" s="11">
        <v>709</v>
      </c>
      <c r="B14" s="11" t="s">
        <v>111</v>
      </c>
      <c r="C14" s="8" t="s">
        <v>51</v>
      </c>
      <c r="D14" s="8">
        <v>3689618</v>
      </c>
      <c r="E14" s="8" t="s">
        <v>141</v>
      </c>
      <c r="F14" s="8" t="s">
        <v>25</v>
      </c>
      <c r="G14" s="8" t="s">
        <v>37</v>
      </c>
      <c r="H14" s="12">
        <v>28</v>
      </c>
      <c r="I14" s="12">
        <v>8</v>
      </c>
      <c r="J14" s="21">
        <v>9500</v>
      </c>
      <c r="K14" s="23" t="s">
        <v>93</v>
      </c>
    </row>
    <row r="15" spans="1:16" s="22" customFormat="1" ht="44.25" customHeight="1" x14ac:dyDescent="0.25">
      <c r="A15" s="11">
        <v>710</v>
      </c>
      <c r="B15" s="11" t="s">
        <v>112</v>
      </c>
      <c r="C15" s="8" t="s">
        <v>52</v>
      </c>
      <c r="D15" s="8">
        <v>2451333</v>
      </c>
      <c r="E15" s="8" t="s">
        <v>142</v>
      </c>
      <c r="F15" s="8" t="s">
        <v>28</v>
      </c>
      <c r="G15" s="8" t="s">
        <v>33</v>
      </c>
      <c r="H15" s="12">
        <v>35</v>
      </c>
      <c r="I15" s="12">
        <v>6</v>
      </c>
      <c r="J15" s="21">
        <v>34890</v>
      </c>
      <c r="K15" s="23" t="s">
        <v>93</v>
      </c>
    </row>
    <row r="16" spans="1:16" s="22" customFormat="1" ht="44.25" customHeight="1" x14ac:dyDescent="0.25">
      <c r="A16" s="11">
        <v>711</v>
      </c>
      <c r="B16" s="11" t="s">
        <v>113</v>
      </c>
      <c r="C16" s="8" t="s">
        <v>53</v>
      </c>
      <c r="D16" s="8">
        <v>2826786</v>
      </c>
      <c r="E16" s="8" t="s">
        <v>143</v>
      </c>
      <c r="F16" s="8" t="s">
        <v>29</v>
      </c>
      <c r="G16" s="8" t="s">
        <v>15</v>
      </c>
      <c r="H16" s="12">
        <v>45</v>
      </c>
      <c r="I16" s="12">
        <v>30</v>
      </c>
      <c r="J16" s="21">
        <v>4500</v>
      </c>
      <c r="K16" s="23" t="s">
        <v>92</v>
      </c>
    </row>
    <row r="17" spans="1:11" s="22" customFormat="1" ht="44.25" customHeight="1" x14ac:dyDescent="0.25">
      <c r="A17" s="11">
        <v>712</v>
      </c>
      <c r="B17" s="11" t="s">
        <v>114</v>
      </c>
      <c r="C17" s="8" t="s">
        <v>54</v>
      </c>
      <c r="D17" s="8">
        <v>4500040</v>
      </c>
      <c r="E17" s="8" t="s">
        <v>144</v>
      </c>
      <c r="F17" s="8" t="s">
        <v>23</v>
      </c>
      <c r="G17" s="8" t="s">
        <v>16</v>
      </c>
      <c r="H17" s="12">
        <v>42</v>
      </c>
      <c r="I17" s="12">
        <v>4</v>
      </c>
      <c r="J17" s="21">
        <v>7654</v>
      </c>
      <c r="K17" s="23" t="s">
        <v>92</v>
      </c>
    </row>
    <row r="18" spans="1:11" s="22" customFormat="1" ht="44.25" customHeight="1" x14ac:dyDescent="0.25">
      <c r="A18" s="11">
        <v>713</v>
      </c>
      <c r="B18" s="11" t="s">
        <v>115</v>
      </c>
      <c r="C18" s="8" t="s">
        <v>55</v>
      </c>
      <c r="D18" s="8">
        <v>3078180</v>
      </c>
      <c r="E18" s="8" t="s">
        <v>145</v>
      </c>
      <c r="F18" s="8" t="s">
        <v>24</v>
      </c>
      <c r="G18" s="8" t="s">
        <v>16</v>
      </c>
      <c r="H18" s="12">
        <v>20</v>
      </c>
      <c r="I18" s="12">
        <v>4</v>
      </c>
      <c r="J18" s="21">
        <v>7654</v>
      </c>
      <c r="K18" s="23" t="s">
        <v>93</v>
      </c>
    </row>
    <row r="19" spans="1:11" s="22" customFormat="1" ht="44.25" customHeight="1" x14ac:dyDescent="0.25">
      <c r="A19" s="11">
        <v>714</v>
      </c>
      <c r="B19" s="11" t="s">
        <v>116</v>
      </c>
      <c r="C19" s="8" t="s">
        <v>17</v>
      </c>
      <c r="D19" s="8">
        <v>2321617</v>
      </c>
      <c r="E19" s="8" t="s">
        <v>146</v>
      </c>
      <c r="F19" s="8" t="s">
        <v>30</v>
      </c>
      <c r="G19" s="8" t="s">
        <v>38</v>
      </c>
      <c r="H19" s="12">
        <v>29</v>
      </c>
      <c r="I19" s="12">
        <v>2</v>
      </c>
      <c r="J19" s="21">
        <v>2400</v>
      </c>
      <c r="K19" s="23" t="s">
        <v>92</v>
      </c>
    </row>
    <row r="20" spans="1:11" s="22" customFormat="1" ht="44.25" customHeight="1" x14ac:dyDescent="0.25">
      <c r="A20" s="11">
        <v>715</v>
      </c>
      <c r="B20" s="11" t="s">
        <v>117</v>
      </c>
      <c r="C20" s="8" t="s">
        <v>18</v>
      </c>
      <c r="D20" s="8">
        <v>3232964</v>
      </c>
      <c r="E20" s="8" t="s">
        <v>147</v>
      </c>
      <c r="F20" s="8" t="s">
        <v>28</v>
      </c>
      <c r="G20" s="8" t="s">
        <v>19</v>
      </c>
      <c r="H20" s="12">
        <v>30</v>
      </c>
      <c r="I20" s="12">
        <v>30</v>
      </c>
      <c r="J20" s="21">
        <v>4708</v>
      </c>
      <c r="K20" s="23" t="s">
        <v>93</v>
      </c>
    </row>
    <row r="21" spans="1:11" s="22" customFormat="1" ht="44.25" customHeight="1" x14ac:dyDescent="0.25">
      <c r="A21" s="11">
        <v>716</v>
      </c>
      <c r="B21" s="11" t="s">
        <v>118</v>
      </c>
      <c r="C21" s="8" t="s">
        <v>56</v>
      </c>
      <c r="D21" s="8">
        <v>7232452</v>
      </c>
      <c r="E21" s="8" t="s">
        <v>148</v>
      </c>
      <c r="F21" s="8" t="s">
        <v>27</v>
      </c>
      <c r="G21" s="8" t="s">
        <v>38</v>
      </c>
      <c r="H21" s="12">
        <v>25</v>
      </c>
      <c r="I21" s="12">
        <v>7</v>
      </c>
      <c r="J21" s="21">
        <v>2400</v>
      </c>
      <c r="K21" s="23" t="s">
        <v>92</v>
      </c>
    </row>
    <row r="22" spans="1:11" s="22" customFormat="1" ht="44.25" customHeight="1" x14ac:dyDescent="0.25">
      <c r="A22" s="11">
        <v>717</v>
      </c>
      <c r="B22" s="11" t="s">
        <v>119</v>
      </c>
      <c r="C22" s="8" t="s">
        <v>57</v>
      </c>
      <c r="D22" s="8">
        <v>8213000</v>
      </c>
      <c r="E22" s="8" t="s">
        <v>149</v>
      </c>
      <c r="F22" s="8" t="s">
        <v>27</v>
      </c>
      <c r="G22" s="8" t="s">
        <v>20</v>
      </c>
      <c r="H22" s="12">
        <v>35</v>
      </c>
      <c r="I22" s="12">
        <v>15</v>
      </c>
      <c r="J22" s="21">
        <v>7680</v>
      </c>
      <c r="K22" s="23" t="s">
        <v>93</v>
      </c>
    </row>
    <row r="23" spans="1:11" s="22" customFormat="1" ht="44.25" customHeight="1" x14ac:dyDescent="0.25">
      <c r="A23" s="11">
        <v>718</v>
      </c>
      <c r="B23" s="11" t="s">
        <v>120</v>
      </c>
      <c r="C23" s="8" t="s">
        <v>58</v>
      </c>
      <c r="D23" s="8">
        <v>2459170</v>
      </c>
      <c r="E23" s="8" t="s">
        <v>150</v>
      </c>
      <c r="F23" s="8" t="s">
        <v>31</v>
      </c>
      <c r="G23" s="8" t="s">
        <v>39</v>
      </c>
      <c r="H23" s="12">
        <v>37</v>
      </c>
      <c r="I23" s="12">
        <v>30</v>
      </c>
      <c r="J23" s="21">
        <v>2456</v>
      </c>
      <c r="K23" s="23" t="s">
        <v>92</v>
      </c>
    </row>
    <row r="24" spans="1:11" s="22" customFormat="1" ht="44.25" customHeight="1" x14ac:dyDescent="0.25">
      <c r="A24" s="11">
        <v>719</v>
      </c>
      <c r="B24" s="11" t="s">
        <v>121</v>
      </c>
      <c r="C24" s="8" t="s">
        <v>59</v>
      </c>
      <c r="D24" s="8">
        <v>8213000</v>
      </c>
      <c r="E24" s="8" t="s">
        <v>149</v>
      </c>
      <c r="F24" s="8" t="s">
        <v>23</v>
      </c>
      <c r="G24" s="8" t="s">
        <v>38</v>
      </c>
      <c r="H24" s="12">
        <v>30</v>
      </c>
      <c r="I24" s="12">
        <v>5</v>
      </c>
      <c r="J24" s="21">
        <v>2400</v>
      </c>
      <c r="K24" s="23" t="s">
        <v>93</v>
      </c>
    </row>
    <row r="25" spans="1:11" s="22" customFormat="1" ht="44.25" customHeight="1" x14ac:dyDescent="0.25">
      <c r="A25" s="11">
        <v>720</v>
      </c>
      <c r="B25" s="11" t="s">
        <v>122</v>
      </c>
      <c r="C25" s="8" t="s">
        <v>60</v>
      </c>
      <c r="D25" s="8">
        <v>3172267</v>
      </c>
      <c r="E25" s="8" t="s">
        <v>151</v>
      </c>
      <c r="F25" s="8" t="s">
        <v>30</v>
      </c>
      <c r="G25" s="8" t="s">
        <v>21</v>
      </c>
      <c r="H25" s="12">
        <v>45</v>
      </c>
      <c r="I25" s="12">
        <v>3</v>
      </c>
      <c r="J25" s="21">
        <v>3500</v>
      </c>
      <c r="K25" s="23" t="s">
        <v>92</v>
      </c>
    </row>
    <row r="26" spans="1:11" s="22" customFormat="1" ht="44.25" customHeight="1" x14ac:dyDescent="0.25">
      <c r="A26" s="11">
        <v>721</v>
      </c>
      <c r="B26" s="11" t="s">
        <v>123</v>
      </c>
      <c r="C26" s="8" t="s">
        <v>61</v>
      </c>
      <c r="D26" s="8">
        <v>6061101</v>
      </c>
      <c r="E26" s="8" t="s">
        <v>152</v>
      </c>
      <c r="F26" s="8" t="s">
        <v>24</v>
      </c>
      <c r="G26" s="8" t="s">
        <v>36</v>
      </c>
      <c r="H26" s="12">
        <v>32</v>
      </c>
      <c r="I26" s="12">
        <v>30</v>
      </c>
      <c r="J26" s="21">
        <v>7100</v>
      </c>
      <c r="K26" s="23" t="s">
        <v>93</v>
      </c>
    </row>
    <row r="27" spans="1:11" s="22" customFormat="1" ht="44.25" customHeight="1" x14ac:dyDescent="0.25">
      <c r="A27" s="11">
        <v>722</v>
      </c>
      <c r="B27" s="11" t="s">
        <v>124</v>
      </c>
      <c r="C27" s="8" t="s">
        <v>62</v>
      </c>
      <c r="D27" s="8">
        <v>2812282</v>
      </c>
      <c r="E27" s="8" t="s">
        <v>153</v>
      </c>
      <c r="F27" s="12" t="s">
        <v>32</v>
      </c>
      <c r="G27" s="8" t="s">
        <v>40</v>
      </c>
      <c r="H27" s="12">
        <v>24</v>
      </c>
      <c r="I27" s="12">
        <v>30</v>
      </c>
      <c r="J27" s="21">
        <v>4500</v>
      </c>
      <c r="K27" s="23" t="s">
        <v>92</v>
      </c>
    </row>
    <row r="28" spans="1:11" s="22" customFormat="1" ht="44.25" customHeight="1" x14ac:dyDescent="0.25">
      <c r="A28" s="11">
        <v>723</v>
      </c>
      <c r="B28" s="11" t="s">
        <v>125</v>
      </c>
      <c r="C28" s="8" t="s">
        <v>63</v>
      </c>
      <c r="D28" s="8">
        <v>2804017</v>
      </c>
      <c r="E28" s="8" t="s">
        <v>154</v>
      </c>
      <c r="F28" s="13" t="s">
        <v>32</v>
      </c>
      <c r="G28" s="8" t="s">
        <v>40</v>
      </c>
      <c r="H28" s="12">
        <v>21</v>
      </c>
      <c r="I28" s="12">
        <v>30</v>
      </c>
      <c r="J28" s="21">
        <v>4500</v>
      </c>
      <c r="K28" s="23" t="s">
        <v>93</v>
      </c>
    </row>
    <row r="29" spans="1:11" s="22" customFormat="1" ht="44.25" customHeight="1" x14ac:dyDescent="0.25">
      <c r="A29" s="11">
        <v>724</v>
      </c>
      <c r="B29" s="11" t="s">
        <v>126</v>
      </c>
      <c r="C29" s="8" t="s">
        <v>64</v>
      </c>
      <c r="D29" s="12">
        <v>3681013</v>
      </c>
      <c r="E29" s="12" t="s">
        <v>155</v>
      </c>
      <c r="F29" s="13" t="s">
        <v>28</v>
      </c>
      <c r="G29" s="12" t="s">
        <v>41</v>
      </c>
      <c r="H29" s="12">
        <v>26</v>
      </c>
      <c r="I29" s="12">
        <v>30</v>
      </c>
      <c r="J29" s="21">
        <v>24000</v>
      </c>
      <c r="K29" s="23" t="s">
        <v>92</v>
      </c>
    </row>
    <row r="30" spans="1:11" s="22" customFormat="1" ht="44.25" customHeight="1" x14ac:dyDescent="0.25">
      <c r="A30" s="11">
        <v>725</v>
      </c>
      <c r="B30" s="11" t="s">
        <v>127</v>
      </c>
      <c r="C30" s="12" t="s">
        <v>65</v>
      </c>
      <c r="D30" s="12">
        <v>3489292</v>
      </c>
      <c r="E30" s="12" t="s">
        <v>156</v>
      </c>
      <c r="F30" s="13" t="s">
        <v>23</v>
      </c>
      <c r="G30" s="12" t="s">
        <v>41</v>
      </c>
      <c r="H30" s="12">
        <v>39</v>
      </c>
      <c r="I30" s="12">
        <v>30</v>
      </c>
      <c r="J30" s="21">
        <v>24000</v>
      </c>
      <c r="K30" s="23" t="s">
        <v>93</v>
      </c>
    </row>
    <row r="31" spans="1:11" s="22" customFormat="1" ht="44.25" customHeight="1" x14ac:dyDescent="0.25">
      <c r="A31" s="11">
        <v>726</v>
      </c>
      <c r="B31" s="11" t="s">
        <v>128</v>
      </c>
      <c r="C31" s="8" t="s">
        <v>66</v>
      </c>
      <c r="D31" s="8">
        <v>2916520</v>
      </c>
      <c r="E31" s="8" t="s">
        <v>157</v>
      </c>
      <c r="F31" s="13" t="s">
        <v>27</v>
      </c>
      <c r="G31" s="12" t="s">
        <v>42</v>
      </c>
      <c r="H31" s="12">
        <v>41</v>
      </c>
      <c r="I31" s="12">
        <v>4</v>
      </c>
      <c r="J31" s="21">
        <v>1000</v>
      </c>
      <c r="K31" s="23" t="s">
        <v>92</v>
      </c>
    </row>
    <row r="32" spans="1:11" s="22" customFormat="1" ht="44.25" customHeight="1" x14ac:dyDescent="0.25">
      <c r="A32" s="11">
        <v>727</v>
      </c>
      <c r="B32" s="11" t="s">
        <v>129</v>
      </c>
      <c r="C32" s="8" t="s">
        <v>67</v>
      </c>
      <c r="D32" s="8">
        <v>5132100</v>
      </c>
      <c r="E32" s="8" t="s">
        <v>158</v>
      </c>
      <c r="F32" s="13" t="s">
        <v>27</v>
      </c>
      <c r="G32" s="8" t="s">
        <v>37</v>
      </c>
      <c r="H32" s="12">
        <v>43</v>
      </c>
      <c r="I32" s="12">
        <v>7</v>
      </c>
      <c r="J32" s="21">
        <v>9500</v>
      </c>
      <c r="K32" s="23" t="s">
        <v>93</v>
      </c>
    </row>
    <row r="33" spans="1:11" s="22" customFormat="1" ht="44.25" customHeight="1" x14ac:dyDescent="0.25">
      <c r="A33" s="11">
        <v>728</v>
      </c>
      <c r="B33" s="11" t="s">
        <v>130</v>
      </c>
      <c r="C33" s="12" t="s">
        <v>68</v>
      </c>
      <c r="D33" s="12">
        <v>7434343</v>
      </c>
      <c r="E33" s="12" t="s">
        <v>159</v>
      </c>
      <c r="F33" s="13" t="s">
        <v>24</v>
      </c>
      <c r="G33" s="12" t="s">
        <v>42</v>
      </c>
      <c r="H33" s="12">
        <v>22</v>
      </c>
      <c r="I33" s="12">
        <v>5</v>
      </c>
      <c r="J33" s="21">
        <v>1000</v>
      </c>
      <c r="K33" s="23" t="s">
        <v>93</v>
      </c>
    </row>
    <row r="34" spans="1:11" s="22" customFormat="1" ht="44.25" customHeight="1" x14ac:dyDescent="0.25">
      <c r="A34" s="11">
        <v>729</v>
      </c>
      <c r="B34" s="11" t="s">
        <v>131</v>
      </c>
      <c r="C34" s="8" t="s">
        <v>70</v>
      </c>
      <c r="D34" s="8">
        <v>2320606</v>
      </c>
      <c r="E34" s="8" t="s">
        <v>160</v>
      </c>
      <c r="F34" s="13" t="s">
        <v>32</v>
      </c>
      <c r="G34" s="8" t="s">
        <v>19</v>
      </c>
      <c r="H34" s="12">
        <v>20</v>
      </c>
      <c r="I34" s="12">
        <v>30</v>
      </c>
      <c r="J34" s="21">
        <v>4708</v>
      </c>
      <c r="K34" s="23" t="s">
        <v>92</v>
      </c>
    </row>
    <row r="35" spans="1:11" s="22" customFormat="1" ht="44.25" customHeight="1" x14ac:dyDescent="0.25">
      <c r="A35" s="11">
        <v>730</v>
      </c>
      <c r="B35" s="11" t="s">
        <v>132</v>
      </c>
      <c r="C35" s="8" t="s">
        <v>69</v>
      </c>
      <c r="D35" s="8">
        <v>2880693</v>
      </c>
      <c r="E35" s="8" t="s">
        <v>161</v>
      </c>
      <c r="F35" s="13" t="s">
        <v>180</v>
      </c>
      <c r="G35" s="12" t="s">
        <v>41</v>
      </c>
      <c r="H35" s="12">
        <v>10</v>
      </c>
      <c r="I35" s="12">
        <v>30</v>
      </c>
      <c r="J35" s="21">
        <v>24000</v>
      </c>
      <c r="K35" s="23" t="s">
        <v>92</v>
      </c>
    </row>
  </sheetData>
  <mergeCells count="2">
    <mergeCell ref="A2:K2"/>
    <mergeCell ref="A4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I34" sqref="I34"/>
    </sheetView>
  </sheetViews>
  <sheetFormatPr baseColWidth="10" defaultRowHeight="15" x14ac:dyDescent="0.25"/>
  <cols>
    <col min="1" max="1" width="46.42578125" bestFit="1" customWidth="1"/>
    <col min="2" max="2" width="22.42578125" customWidth="1"/>
    <col min="3" max="3" width="11.5703125" bestFit="1" customWidth="1"/>
    <col min="4" max="4" width="12.5703125" customWidth="1"/>
    <col min="5" max="5" width="12.5703125" bestFit="1" customWidth="1"/>
  </cols>
  <sheetData>
    <row r="1" spans="1:4" x14ac:dyDescent="0.25">
      <c r="A1" s="64" t="s">
        <v>178</v>
      </c>
      <c r="B1" s="64" t="s">
        <v>179</v>
      </c>
    </row>
    <row r="2" spans="1:4" x14ac:dyDescent="0.25">
      <c r="A2" s="64" t="s">
        <v>176</v>
      </c>
      <c r="B2" t="s">
        <v>92</v>
      </c>
      <c r="C2" t="s">
        <v>93</v>
      </c>
      <c r="D2" t="s">
        <v>165</v>
      </c>
    </row>
    <row r="3" spans="1:4" x14ac:dyDescent="0.25">
      <c r="A3" s="65" t="s">
        <v>18</v>
      </c>
      <c r="B3" s="67"/>
      <c r="C3" s="67">
        <v>155791.25099999999</v>
      </c>
      <c r="D3" s="67">
        <v>155791.25099999999</v>
      </c>
    </row>
    <row r="4" spans="1:4" x14ac:dyDescent="0.25">
      <c r="A4" s="65" t="s">
        <v>43</v>
      </c>
      <c r="B4" s="67">
        <v>1380510.075</v>
      </c>
      <c r="C4" s="67"/>
      <c r="D4" s="67">
        <v>1380510.075</v>
      </c>
    </row>
    <row r="5" spans="1:4" x14ac:dyDescent="0.25">
      <c r="A5" s="65" t="s">
        <v>17</v>
      </c>
      <c r="B5" s="67">
        <v>64141.62</v>
      </c>
      <c r="C5" s="67"/>
      <c r="D5" s="67">
        <v>64141.62</v>
      </c>
    </row>
    <row r="6" spans="1:4" x14ac:dyDescent="0.25">
      <c r="A6" s="65" t="s">
        <v>44</v>
      </c>
      <c r="B6" s="67">
        <v>592802.30799999996</v>
      </c>
      <c r="C6" s="67"/>
      <c r="D6" s="67">
        <v>592802.30799999996</v>
      </c>
    </row>
    <row r="7" spans="1:4" x14ac:dyDescent="0.25">
      <c r="A7" s="65" t="s">
        <v>45</v>
      </c>
      <c r="B7" s="67"/>
      <c r="C7" s="67">
        <v>33003</v>
      </c>
      <c r="D7" s="67">
        <v>33003</v>
      </c>
    </row>
    <row r="8" spans="1:4" x14ac:dyDescent="0.25">
      <c r="A8" s="65" t="s">
        <v>46</v>
      </c>
      <c r="B8" s="67"/>
      <c r="C8" s="67">
        <v>264505.39500000002</v>
      </c>
      <c r="D8" s="67">
        <v>264505.39500000002</v>
      </c>
    </row>
    <row r="9" spans="1:4" x14ac:dyDescent="0.25">
      <c r="A9" s="65" t="s">
        <v>48</v>
      </c>
      <c r="B9" s="67">
        <v>127719.90000000001</v>
      </c>
      <c r="C9" s="67"/>
      <c r="D9" s="67">
        <v>127719.90000000001</v>
      </c>
    </row>
    <row r="10" spans="1:4" x14ac:dyDescent="0.25">
      <c r="A10" s="65" t="s">
        <v>50</v>
      </c>
      <c r="B10" s="67">
        <v>63183.375</v>
      </c>
      <c r="C10" s="67"/>
      <c r="D10" s="67">
        <v>63183.375</v>
      </c>
    </row>
    <row r="11" spans="1:4" x14ac:dyDescent="0.25">
      <c r="A11" s="65" t="s">
        <v>49</v>
      </c>
      <c r="B11" s="67">
        <v>23039.375</v>
      </c>
      <c r="C11" s="67"/>
      <c r="D11" s="67">
        <v>23039.375</v>
      </c>
    </row>
    <row r="12" spans="1:4" x14ac:dyDescent="0.25">
      <c r="A12" s="65" t="s">
        <v>52</v>
      </c>
      <c r="B12" s="67"/>
      <c r="C12" s="67">
        <v>1380510.075</v>
      </c>
      <c r="D12" s="67">
        <v>1380510.075</v>
      </c>
    </row>
    <row r="13" spans="1:4" x14ac:dyDescent="0.25">
      <c r="A13" s="65" t="s">
        <v>53</v>
      </c>
      <c r="B13" s="67">
        <v>222193.125</v>
      </c>
      <c r="C13" s="67"/>
      <c r="D13" s="67">
        <v>222193.125</v>
      </c>
    </row>
    <row r="14" spans="1:4" x14ac:dyDescent="0.25">
      <c r="A14" s="65" t="s">
        <v>55</v>
      </c>
      <c r="B14" s="67"/>
      <c r="C14" s="67">
        <v>171503.17800000001</v>
      </c>
      <c r="D14" s="67">
        <v>171503.17800000001</v>
      </c>
    </row>
    <row r="15" spans="1:4" x14ac:dyDescent="0.25">
      <c r="A15" s="65" t="s">
        <v>58</v>
      </c>
      <c r="B15" s="67">
        <v>83306.905999999988</v>
      </c>
      <c r="C15" s="67"/>
      <c r="D15" s="67">
        <v>83306.905999999988</v>
      </c>
    </row>
    <row r="16" spans="1:4" x14ac:dyDescent="0.25">
      <c r="A16" s="65" t="s">
        <v>56</v>
      </c>
      <c r="B16" s="67">
        <v>55294.5</v>
      </c>
      <c r="C16" s="67"/>
      <c r="D16" s="67">
        <v>55294.5</v>
      </c>
    </row>
    <row r="17" spans="1:4" x14ac:dyDescent="0.25">
      <c r="A17" s="65" t="s">
        <v>63</v>
      </c>
      <c r="B17" s="67"/>
      <c r="C17" s="67">
        <v>104235.86249999999</v>
      </c>
      <c r="D17" s="67">
        <v>104235.86249999999</v>
      </c>
    </row>
    <row r="18" spans="1:4" x14ac:dyDescent="0.25">
      <c r="A18" s="65" t="s">
        <v>57</v>
      </c>
      <c r="B18" s="67"/>
      <c r="C18" s="67">
        <v>294940.80000000005</v>
      </c>
      <c r="D18" s="67">
        <v>294940.80000000005</v>
      </c>
    </row>
    <row r="19" spans="1:4" x14ac:dyDescent="0.25">
      <c r="A19" s="65" t="s">
        <v>61</v>
      </c>
      <c r="B19" s="67"/>
      <c r="C19" s="67">
        <v>249295.2</v>
      </c>
      <c r="D19" s="67">
        <v>249295.2</v>
      </c>
    </row>
    <row r="20" spans="1:4" x14ac:dyDescent="0.25">
      <c r="A20" s="65" t="s">
        <v>68</v>
      </c>
      <c r="B20" s="67"/>
      <c r="C20" s="67">
        <v>20274.650000000001</v>
      </c>
      <c r="D20" s="67">
        <v>20274.650000000001</v>
      </c>
    </row>
    <row r="21" spans="1:4" x14ac:dyDescent="0.25">
      <c r="A21" s="65" t="s">
        <v>62</v>
      </c>
      <c r="B21" s="67">
        <v>119126.70000000001</v>
      </c>
      <c r="C21" s="67"/>
      <c r="D21" s="67">
        <v>119126.70000000001</v>
      </c>
    </row>
    <row r="22" spans="1:4" x14ac:dyDescent="0.25">
      <c r="A22" s="65" t="s">
        <v>67</v>
      </c>
      <c r="B22" s="67"/>
      <c r="C22" s="67">
        <v>448226.625</v>
      </c>
      <c r="D22" s="67">
        <v>448226.625</v>
      </c>
    </row>
    <row r="23" spans="1:4" x14ac:dyDescent="0.25">
      <c r="A23" s="65" t="s">
        <v>47</v>
      </c>
      <c r="B23" s="67"/>
      <c r="C23" s="67">
        <v>334990.42500000005</v>
      </c>
      <c r="D23" s="67">
        <v>334990.42500000005</v>
      </c>
    </row>
    <row r="24" spans="1:4" x14ac:dyDescent="0.25">
      <c r="A24" s="65" t="s">
        <v>64</v>
      </c>
      <c r="B24" s="67">
        <v>709144.8</v>
      </c>
      <c r="C24" s="67"/>
      <c r="D24" s="67">
        <v>709144.8</v>
      </c>
    </row>
    <row r="25" spans="1:4" x14ac:dyDescent="0.25">
      <c r="A25" s="65" t="s">
        <v>59</v>
      </c>
      <c r="B25" s="67"/>
      <c r="C25" s="67">
        <v>66353.399999999994</v>
      </c>
      <c r="D25" s="67">
        <v>66353.399999999994</v>
      </c>
    </row>
    <row r="26" spans="1:4" x14ac:dyDescent="0.25">
      <c r="A26" s="65" t="s">
        <v>66</v>
      </c>
      <c r="B26" s="67">
        <v>37586.75</v>
      </c>
      <c r="C26" s="67"/>
      <c r="D26" s="67">
        <v>37586.75</v>
      </c>
    </row>
    <row r="27" spans="1:4" x14ac:dyDescent="0.25">
      <c r="A27" s="65" t="s">
        <v>70</v>
      </c>
      <c r="B27" s="67">
        <v>105492.15599999999</v>
      </c>
      <c r="C27" s="67"/>
      <c r="D27" s="67">
        <v>105492.15599999999</v>
      </c>
    </row>
    <row r="28" spans="1:4" x14ac:dyDescent="0.25">
      <c r="A28" s="65" t="s">
        <v>69</v>
      </c>
      <c r="B28" s="67">
        <v>268884</v>
      </c>
      <c r="C28" s="67"/>
      <c r="D28" s="67">
        <v>268884</v>
      </c>
    </row>
    <row r="29" spans="1:4" x14ac:dyDescent="0.25">
      <c r="A29" s="65" t="s">
        <v>65</v>
      </c>
      <c r="B29" s="67"/>
      <c r="C29" s="67">
        <v>1058148</v>
      </c>
      <c r="D29" s="67">
        <v>1058148</v>
      </c>
    </row>
    <row r="30" spans="1:4" x14ac:dyDescent="0.25">
      <c r="A30" s="65" t="s">
        <v>51</v>
      </c>
      <c r="B30" s="67"/>
      <c r="C30" s="67">
        <v>293404.65000000002</v>
      </c>
      <c r="D30" s="67">
        <v>293404.65000000002</v>
      </c>
    </row>
    <row r="31" spans="1:4" x14ac:dyDescent="0.25">
      <c r="A31" s="65" t="s">
        <v>54</v>
      </c>
      <c r="B31" s="67">
        <v>352730.76299999998</v>
      </c>
      <c r="C31" s="67"/>
      <c r="D31" s="67">
        <v>352730.76299999998</v>
      </c>
    </row>
    <row r="32" spans="1:4" x14ac:dyDescent="0.25">
      <c r="A32" s="65" t="s">
        <v>60</v>
      </c>
      <c r="B32" s="67">
        <v>172816.875</v>
      </c>
      <c r="C32" s="67"/>
      <c r="D32" s="67">
        <v>172816.875</v>
      </c>
    </row>
    <row r="33" spans="1:4" x14ac:dyDescent="0.25">
      <c r="A33" s="65" t="s">
        <v>165</v>
      </c>
      <c r="B33" s="67">
        <v>4377973.2280000001</v>
      </c>
      <c r="C33" s="67">
        <v>4875182.511500001</v>
      </c>
      <c r="D33" s="67">
        <v>9253155.7395000029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86" zoomScaleNormal="86" workbookViewId="0">
      <selection activeCell="E4" sqref="E4"/>
    </sheetView>
  </sheetViews>
  <sheetFormatPr baseColWidth="10" defaultRowHeight="15" x14ac:dyDescent="0.25"/>
  <cols>
    <col min="1" max="1" width="21.28515625" bestFit="1" customWidth="1"/>
    <col min="2" max="2" width="22.42578125" customWidth="1"/>
    <col min="3" max="4" width="12.5703125" bestFit="1" customWidth="1"/>
    <col min="5" max="5" width="21.42578125" bestFit="1" customWidth="1"/>
    <col min="6" max="6" width="12.5703125" bestFit="1" customWidth="1"/>
    <col min="7" max="8" width="12.5703125" customWidth="1"/>
    <col min="9" max="9" width="20" bestFit="1" customWidth="1"/>
    <col min="10" max="13" width="12.5703125" customWidth="1"/>
    <col min="14" max="14" width="14.140625" bestFit="1" customWidth="1"/>
  </cols>
  <sheetData>
    <row r="1" spans="1:11" ht="23.25" x14ac:dyDescent="0.35">
      <c r="A1" s="148" t="s">
        <v>102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3" spans="1:11" x14ac:dyDescent="0.25">
      <c r="A3" s="149" t="s">
        <v>22</v>
      </c>
      <c r="C3" s="72"/>
      <c r="D3" s="72"/>
    </row>
    <row r="4" spans="1:11" x14ac:dyDescent="0.25">
      <c r="A4" s="149"/>
      <c r="C4" s="72"/>
      <c r="D4" s="72"/>
    </row>
    <row r="5" spans="1:11" x14ac:dyDescent="0.25">
      <c r="A5" s="149"/>
      <c r="C5" s="72"/>
      <c r="D5" s="72"/>
    </row>
    <row r="8" spans="1:11" ht="15.75" x14ac:dyDescent="0.25">
      <c r="A8" s="35" t="s">
        <v>97</v>
      </c>
      <c r="B8" s="35"/>
      <c r="E8" s="33" t="s">
        <v>101</v>
      </c>
      <c r="F8" s="33" t="s">
        <v>98</v>
      </c>
      <c r="G8" s="33" t="s">
        <v>99</v>
      </c>
      <c r="H8" s="34"/>
      <c r="I8" s="33" t="s">
        <v>100</v>
      </c>
      <c r="J8" s="33" t="s">
        <v>98</v>
      </c>
      <c r="K8" s="33" t="s">
        <v>99</v>
      </c>
    </row>
    <row r="9" spans="1:11" x14ac:dyDescent="0.25">
      <c r="E9" s="34"/>
      <c r="F9" s="34"/>
      <c r="G9" s="34"/>
      <c r="H9" s="34"/>
      <c r="I9" s="34"/>
      <c r="J9" s="34"/>
      <c r="K9" s="34"/>
    </row>
    <row r="10" spans="1:11" x14ac:dyDescent="0.25">
      <c r="E10" s="34"/>
      <c r="F10" s="34"/>
      <c r="G10" s="34"/>
      <c r="H10" s="34"/>
      <c r="I10" s="34"/>
      <c r="J10" s="34"/>
      <c r="K10" s="34"/>
    </row>
    <row r="11" spans="1:11" x14ac:dyDescent="0.25">
      <c r="E11" s="34"/>
      <c r="F11" s="34"/>
      <c r="G11" s="34"/>
      <c r="H11" s="34"/>
      <c r="I11" s="34"/>
      <c r="J11" s="34"/>
      <c r="K11" s="34"/>
    </row>
    <row r="12" spans="1:11" x14ac:dyDescent="0.25">
      <c r="E12" s="32"/>
      <c r="F12" s="32"/>
      <c r="G12" s="32"/>
      <c r="H12" s="32"/>
      <c r="I12" s="32"/>
      <c r="J12" s="32"/>
      <c r="K12" s="32"/>
    </row>
    <row r="13" spans="1:11" x14ac:dyDescent="0.25">
      <c r="E13" s="32"/>
      <c r="F13" s="32"/>
      <c r="G13" s="32"/>
      <c r="H13" s="32"/>
      <c r="I13" s="32"/>
      <c r="J13" s="32"/>
      <c r="K13" s="32"/>
    </row>
    <row r="14" spans="1:11" x14ac:dyDescent="0.25">
      <c r="E14" s="32"/>
      <c r="F14" s="32"/>
      <c r="G14" s="32"/>
      <c r="H14" s="32"/>
      <c r="I14" s="32"/>
      <c r="J14" s="32"/>
      <c r="K14" s="32"/>
    </row>
  </sheetData>
  <mergeCells count="2">
    <mergeCell ref="A1:K1"/>
    <mergeCell ref="A3:A5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7" workbookViewId="0">
      <selection activeCell="A6" sqref="A6"/>
    </sheetView>
  </sheetViews>
  <sheetFormatPr baseColWidth="10" defaultRowHeight="15" x14ac:dyDescent="0.25"/>
  <cols>
    <col min="1" max="1" width="11.85546875" customWidth="1"/>
    <col min="2" max="2" width="27.140625" customWidth="1"/>
    <col min="3" max="5" width="30.42578125" customWidth="1"/>
    <col min="6" max="8" width="23.7109375" customWidth="1"/>
    <col min="9" max="9" width="34.5703125" customWidth="1"/>
    <col min="10" max="17" width="23.7109375" customWidth="1"/>
    <col min="18" max="18" width="27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  <c r="R2" s="37"/>
    </row>
    <row r="3" spans="1:18" ht="9.7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3.75" customHeight="1" x14ac:dyDescent="0.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</row>
    <row r="5" spans="1:18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63" t="s">
        <v>2</v>
      </c>
      <c r="B6" s="63" t="s">
        <v>88</v>
      </c>
      <c r="C6" s="63" t="s">
        <v>3</v>
      </c>
      <c r="D6" s="63" t="s">
        <v>90</v>
      </c>
      <c r="E6" s="63" t="s">
        <v>89</v>
      </c>
      <c r="F6" s="63" t="s">
        <v>22</v>
      </c>
      <c r="G6" s="63" t="s">
        <v>4</v>
      </c>
      <c r="H6" s="63" t="s">
        <v>5</v>
      </c>
      <c r="I6" s="63" t="s">
        <v>162</v>
      </c>
      <c r="J6" s="63" t="s">
        <v>6</v>
      </c>
      <c r="K6" s="63" t="s">
        <v>7</v>
      </c>
      <c r="L6" s="63" t="s">
        <v>8</v>
      </c>
      <c r="M6" s="63" t="s">
        <v>9</v>
      </c>
      <c r="N6" s="63" t="s">
        <v>10</v>
      </c>
      <c r="O6" s="63" t="s">
        <v>11</v>
      </c>
      <c r="P6" s="63" t="s">
        <v>12</v>
      </c>
      <c r="Q6" s="63" t="s">
        <v>91</v>
      </c>
      <c r="R6" s="63" t="s">
        <v>71</v>
      </c>
    </row>
    <row r="7" spans="1:18" ht="39" customHeight="1" x14ac:dyDescent="0.25">
      <c r="A7" s="3">
        <v>701</v>
      </c>
      <c r="B7" s="3" t="str">
        <f t="shared" ref="B7:B36" si="0">IF(ISBLANK(A7),"",IF(ISERROR(VLOOKUP(A7,bdpapeleria,2,FALSE)),"El dato no existe",VLOOKUP(A7,bdpapeleria,2,FALSE)))</f>
        <v>890980134-1</v>
      </c>
      <c r="C7" s="39" t="str">
        <f>IF(ISBLANK(A7),"",IF(ISERROR(VLOOKUP(A7,bdpapeleria,3,FALSE)),"El dato no existe",VLOOKUP(A7,bdpapeleria,3,FALSE)))</f>
        <v>COLEGIO MAYOR DE ANTIOQUIA</v>
      </c>
      <c r="D7" s="40">
        <f t="shared" ref="D7:D36" si="1">IF(ISBLANK(A7),"",IF(ISERROR(VLOOKUP(A7,bdpapeleria,4,FALSE)),"El dato no existe",VLOOKUP(A7,bdpapeleria,4,FALSE)))</f>
        <v>4445611</v>
      </c>
      <c r="E7" s="3" t="str">
        <f t="shared" ref="E7:E36" si="2">IF(ISBLANK(A7),"",IF(ISERROR(VLOOKUP(A7,bdpapeleria,5,FALSE)),"El dato no existe",VLOOKUP(A7,bdpapeleria,5,FALSE)))</f>
        <v>Carrera 78 N° 65-46</v>
      </c>
      <c r="F7" s="3" t="str">
        <f t="shared" ref="F7:F36" si="3">IF(ISBLANK(A7),"",IF(ISERROR(VLOOKUP(A7,bdpapeleria,6,FALSE)),"El dato no existe",VLOOKUP(A7,bdpapeleria,6,FALSE)))</f>
        <v>Antioquia</v>
      </c>
      <c r="G7" s="39" t="str">
        <f t="shared" ref="G7:G36" si="4">IF(ISBLANK(A7),"",IF(ISERROR(VLOOKUP(A7,bdpapeleria,7,FALSE)),"El dato no existe",VLOOKUP(A7,bdpapeleria,7,FALSE)))</f>
        <v xml:space="preserve">CAJA DE RESMAS TAMAÑO OFICIO </v>
      </c>
      <c r="H7" s="3">
        <f t="shared" ref="H7:H36" si="5">IF(ISBLANK(A7),"",IF(ISERROR(VLOOKUP(A7,bdpapeleria,8,FALSE)),"El dato no existe",VLOOKUP(A7,bdpapeleria,8,FALSE)))</f>
        <v>35</v>
      </c>
      <c r="I7" s="3">
        <f t="shared" ref="I7:I44" si="6">IF(ISBLANK(A7),"",IF(ISERROR(VLOOKUP(A7,bdpapeleria,9,FALSE)),"El dato no existe",VLOOKUP(A7,bdpapeleria,9,FALSE)))</f>
        <v>8</v>
      </c>
      <c r="J7" s="3">
        <f t="shared" ref="J7:J36" si="7">IF(ISBLANK(A7),"",IF(ISERROR(VLOOKUP(A7,bdpapeleria,10,FALSE)),"El dato no existe",VLOOKUP(A7,bdpapeleria,10,FALSE)))</f>
        <v>34890</v>
      </c>
      <c r="K7" s="6">
        <f>J7*H7</f>
        <v>1221150</v>
      </c>
      <c r="L7" s="6">
        <f t="shared" ref="L7:L36" si="8">IF(AND(H7&gt;=10,H7&lt;=20),K7*$F$48,IF(AND(H7&gt;=21,H7&lt;=30),K7*$G$48,K7*$H$48))</f>
        <v>61057.5</v>
      </c>
      <c r="M7" s="46">
        <f>K7-L7</f>
        <v>1160092.5</v>
      </c>
      <c r="N7" s="47">
        <f t="shared" ref="N7:N36" si="9">IF(M7&gt;=90000,M7*$F$49,M7*0%)</f>
        <v>220417.57500000001</v>
      </c>
      <c r="O7" s="6">
        <f t="shared" ref="O7:O36" si="10">IF(M7&lt;=400000,M7*$F$50,M7*0%)</f>
        <v>0</v>
      </c>
      <c r="P7" s="42">
        <f>M7+N7-O7</f>
        <v>1380510.075</v>
      </c>
      <c r="Q7" s="42" t="str">
        <f t="shared" ref="Q7:Q44" si="11">IF(ISBLANK(A7),"",IF(ISERROR(VLOOKUP(A7,bdpapeleria,11,FALSE)),"El dato no existe",VLOOKUP(A7,bdpapeleria,11,FALSE)))</f>
        <v>CONTADO</v>
      </c>
      <c r="R7" s="42" t="str">
        <f>IF(I7&gt;=15,"Mala Demanda","Buena Demanda")</f>
        <v>Buena Demanda</v>
      </c>
    </row>
    <row r="8" spans="1:18" ht="40.5" customHeight="1" x14ac:dyDescent="0.25">
      <c r="A8" s="3">
        <v>702</v>
      </c>
      <c r="B8" s="3" t="str">
        <f t="shared" si="0"/>
        <v>890480054-5</v>
      </c>
      <c r="C8" s="39" t="str">
        <f t="shared" ref="C8:C36" si="12">IF(ISBLANK(A8),"",IF(ISERROR(VLOOKUP(A8,bdpapeleria,3,FALSE)),"El dato no existe",VLOOKUP(A8,bdpapeleria,3,FALSE)))</f>
        <v xml:space="preserve">CORPORACION CENTRO TÉCNICO ARQUITETÓNICO </v>
      </c>
      <c r="D8" s="4">
        <f t="shared" si="1"/>
        <v>3293333</v>
      </c>
      <c r="E8" s="4" t="str">
        <f t="shared" si="2"/>
        <v>Avda 30 de Agosto N° 52-236</v>
      </c>
      <c r="F8" s="3" t="str">
        <f t="shared" si="3"/>
        <v>Risaralda</v>
      </c>
      <c r="G8" s="39" t="str">
        <f t="shared" si="4"/>
        <v xml:space="preserve">CAJA DE RESMAS TAMAÑO CARTA X 15 </v>
      </c>
      <c r="H8" s="3">
        <f t="shared" si="5"/>
        <v>20</v>
      </c>
      <c r="I8" s="3">
        <f t="shared" si="6"/>
        <v>15</v>
      </c>
      <c r="J8" s="3">
        <f t="shared" si="7"/>
        <v>25678</v>
      </c>
      <c r="K8" s="6">
        <f t="shared" ref="K8:K36" si="13">J8*H8</f>
        <v>513560</v>
      </c>
      <c r="L8" s="6">
        <f t="shared" si="8"/>
        <v>15406.8</v>
      </c>
      <c r="M8" s="46">
        <f>K8-L8</f>
        <v>498153.2</v>
      </c>
      <c r="N8" s="47">
        <f t="shared" si="9"/>
        <v>94649.108000000007</v>
      </c>
      <c r="O8" s="6">
        <f t="shared" si="10"/>
        <v>0</v>
      </c>
      <c r="P8" s="42">
        <f t="shared" ref="P8:P36" si="14">M8+N8-O8</f>
        <v>592802.30799999996</v>
      </c>
      <c r="Q8" s="42" t="str">
        <f t="shared" si="11"/>
        <v>CONTADO</v>
      </c>
      <c r="R8" s="42" t="str">
        <f t="shared" ref="R8:R36" si="15">IF(I8&gt;=15,"Mala Demanda","Buena Demanda")</f>
        <v>Mala Demanda</v>
      </c>
    </row>
    <row r="9" spans="1:18" ht="34.5" customHeight="1" x14ac:dyDescent="0.25">
      <c r="A9" s="3">
        <v>703</v>
      </c>
      <c r="B9" s="3" t="str">
        <f t="shared" si="0"/>
        <v>891411199-3</v>
      </c>
      <c r="C9" s="39" t="str">
        <f t="shared" si="12"/>
        <v>CORPORACIÓN EDUCATIVA -ITAE-</v>
      </c>
      <c r="D9" s="4">
        <f t="shared" si="1"/>
        <v>6642484</v>
      </c>
      <c r="E9" s="4" t="str">
        <f t="shared" si="2"/>
        <v>Centro Carrera 3 Calle de la factoria N°35-95</v>
      </c>
      <c r="F9" s="3" t="str">
        <f t="shared" si="3"/>
        <v>Bolivar</v>
      </c>
      <c r="G9" s="39" t="str">
        <f t="shared" si="4"/>
        <v xml:space="preserve">TALONARIO DE CAJA MENOR </v>
      </c>
      <c r="H9" s="3">
        <f t="shared" si="5"/>
        <v>40</v>
      </c>
      <c r="I9" s="3">
        <f t="shared" si="6"/>
        <v>10</v>
      </c>
      <c r="J9" s="3">
        <f t="shared" si="7"/>
        <v>900</v>
      </c>
      <c r="K9" s="6">
        <f t="shared" si="13"/>
        <v>36000</v>
      </c>
      <c r="L9" s="6">
        <f t="shared" si="8"/>
        <v>1800</v>
      </c>
      <c r="M9" s="46">
        <f t="shared" ref="M9:M36" si="16">K9-L9</f>
        <v>34200</v>
      </c>
      <c r="N9" s="47">
        <f t="shared" si="9"/>
        <v>0</v>
      </c>
      <c r="O9" s="6">
        <f t="shared" si="10"/>
        <v>1197.0000000000002</v>
      </c>
      <c r="P9" s="42">
        <f t="shared" si="14"/>
        <v>33003</v>
      </c>
      <c r="Q9" s="42" t="str">
        <f t="shared" si="11"/>
        <v>CRÉDITO</v>
      </c>
      <c r="R9" s="42" t="str">
        <f t="shared" si="15"/>
        <v>Buena Demanda</v>
      </c>
    </row>
    <row r="10" spans="1:18" ht="34.5" customHeight="1" x14ac:dyDescent="0.25">
      <c r="A10" s="3">
        <v>704</v>
      </c>
      <c r="B10" s="3" t="str">
        <f t="shared" si="0"/>
        <v>8900704562-9</v>
      </c>
      <c r="C10" s="39" t="str">
        <f t="shared" si="12"/>
        <v>CORPORACIÓN ESCUELA DE ARTES Y LETRAS</v>
      </c>
      <c r="D10" s="4">
        <f t="shared" si="1"/>
        <v>2134421</v>
      </c>
      <c r="E10" s="4" t="str">
        <f t="shared" si="2"/>
        <v xml:space="preserve">Calle 10 N° 29-93 </v>
      </c>
      <c r="F10" s="3" t="str">
        <f t="shared" si="3"/>
        <v>Tolima</v>
      </c>
      <c r="G10" s="39" t="str">
        <f t="shared" si="4"/>
        <v>CUADERNO ARGOLLADO</v>
      </c>
      <c r="H10" s="3">
        <f t="shared" si="5"/>
        <v>22</v>
      </c>
      <c r="I10" s="3">
        <f t="shared" si="6"/>
        <v>8</v>
      </c>
      <c r="J10" s="3">
        <f t="shared" si="7"/>
        <v>10900</v>
      </c>
      <c r="K10" s="6">
        <f t="shared" si="13"/>
        <v>239800</v>
      </c>
      <c r="L10" s="6">
        <f t="shared" si="8"/>
        <v>10791</v>
      </c>
      <c r="M10" s="46">
        <f t="shared" si="16"/>
        <v>229009</v>
      </c>
      <c r="N10" s="47">
        <f t="shared" si="9"/>
        <v>43511.71</v>
      </c>
      <c r="O10" s="6">
        <f t="shared" si="10"/>
        <v>8015.3150000000005</v>
      </c>
      <c r="P10" s="42">
        <f t="shared" si="14"/>
        <v>264505.39500000002</v>
      </c>
      <c r="Q10" s="42" t="str">
        <f t="shared" si="11"/>
        <v>CRÉDITO</v>
      </c>
      <c r="R10" s="42" t="str">
        <f t="shared" si="15"/>
        <v>Buena Demanda</v>
      </c>
    </row>
    <row r="11" spans="1:18" ht="34.5" customHeight="1" x14ac:dyDescent="0.25">
      <c r="A11" s="3">
        <v>705</v>
      </c>
      <c r="B11" s="3" t="str">
        <f t="shared" si="0"/>
        <v>890203706-2</v>
      </c>
      <c r="C11" s="39" t="str">
        <f t="shared" si="12"/>
        <v>UNIVERSIDAD CATÓLICA LUIS AMIGÓ</v>
      </c>
      <c r="D11" s="4">
        <f t="shared" si="1"/>
        <v>6525202</v>
      </c>
      <c r="E11" s="4" t="str">
        <f t="shared" si="2"/>
        <v>Calle 10 N° 3-95</v>
      </c>
      <c r="F11" s="3" t="str">
        <f t="shared" si="3"/>
        <v>Antioquia</v>
      </c>
      <c r="G11" s="39" t="str">
        <f t="shared" si="4"/>
        <v>CARPETAS PARA ARCHIVO TAMAÑO OFICIO</v>
      </c>
      <c r="H11" s="3">
        <f t="shared" si="5"/>
        <v>43</v>
      </c>
      <c r="I11" s="3">
        <f t="shared" si="6"/>
        <v>30</v>
      </c>
      <c r="J11" s="3">
        <f t="shared" si="7"/>
        <v>7100</v>
      </c>
      <c r="K11" s="6">
        <f t="shared" si="13"/>
        <v>305300</v>
      </c>
      <c r="L11" s="6">
        <f t="shared" si="8"/>
        <v>15265</v>
      </c>
      <c r="M11" s="46">
        <f t="shared" si="16"/>
        <v>290035</v>
      </c>
      <c r="N11" s="47">
        <f t="shared" si="9"/>
        <v>55106.65</v>
      </c>
      <c r="O11" s="6">
        <f t="shared" si="10"/>
        <v>10151.225</v>
      </c>
      <c r="P11" s="42">
        <f t="shared" si="14"/>
        <v>334990.42500000005</v>
      </c>
      <c r="Q11" s="42" t="str">
        <f t="shared" si="11"/>
        <v>CRÉDITO</v>
      </c>
      <c r="R11" s="42" t="str">
        <f t="shared" si="15"/>
        <v>Mala Demanda</v>
      </c>
    </row>
    <row r="12" spans="1:18" ht="34.5" customHeight="1" x14ac:dyDescent="0.25">
      <c r="A12" s="3">
        <v>706</v>
      </c>
      <c r="B12" s="3" t="str">
        <f t="shared" si="0"/>
        <v>891408248-5</v>
      </c>
      <c r="C12" s="39" t="str">
        <f t="shared" si="12"/>
        <v>CORPORACIÓN JOHN F.KENNEDY</v>
      </c>
      <c r="D12" s="4">
        <f t="shared" si="1"/>
        <v>6505400</v>
      </c>
      <c r="E12" s="4" t="str">
        <f t="shared" si="2"/>
        <v>Calle 74 N° 11-92</v>
      </c>
      <c r="F12" s="3" t="str">
        <f t="shared" si="3"/>
        <v>Cundinamarca</v>
      </c>
      <c r="G12" s="39" t="str">
        <f t="shared" si="4"/>
        <v>CAJA DE COLORES NORMA</v>
      </c>
      <c r="H12" s="3">
        <f t="shared" si="5"/>
        <v>12</v>
      </c>
      <c r="I12" s="3">
        <f t="shared" si="6"/>
        <v>5</v>
      </c>
      <c r="J12" s="3">
        <f t="shared" si="7"/>
        <v>9500</v>
      </c>
      <c r="K12" s="6">
        <f t="shared" si="13"/>
        <v>114000</v>
      </c>
      <c r="L12" s="6">
        <f t="shared" si="8"/>
        <v>3420</v>
      </c>
      <c r="M12" s="46">
        <f t="shared" si="16"/>
        <v>110580</v>
      </c>
      <c r="N12" s="47">
        <f t="shared" si="9"/>
        <v>21010.2</v>
      </c>
      <c r="O12" s="6">
        <f t="shared" si="10"/>
        <v>3870.3</v>
      </c>
      <c r="P12" s="42">
        <f t="shared" si="14"/>
        <v>127719.90000000001</v>
      </c>
      <c r="Q12" s="42" t="str">
        <f t="shared" si="11"/>
        <v>CONTADO</v>
      </c>
      <c r="R12" s="42" t="str">
        <f t="shared" si="15"/>
        <v>Buena Demanda</v>
      </c>
    </row>
    <row r="13" spans="1:18" ht="34.5" customHeight="1" x14ac:dyDescent="0.25">
      <c r="A13" s="3">
        <v>707</v>
      </c>
      <c r="B13" s="3" t="str">
        <f t="shared" si="0"/>
        <v>860066098-5</v>
      </c>
      <c r="C13" s="39" t="str">
        <f t="shared" si="12"/>
        <v>CORPORACIÓN UNVIERSITARIA CENDA</v>
      </c>
      <c r="D13" s="4">
        <f t="shared" si="1"/>
        <v>3400100</v>
      </c>
      <c r="E13" s="4" t="str">
        <f t="shared" si="2"/>
        <v>Carrera 14 N° 12-42</v>
      </c>
      <c r="F13" s="3" t="str">
        <f t="shared" si="3"/>
        <v>Risaralda</v>
      </c>
      <c r="G13" s="39" t="str">
        <f t="shared" si="4"/>
        <v>VINILOS PRISMACOLOR</v>
      </c>
      <c r="H13" s="3">
        <f t="shared" si="5"/>
        <v>25</v>
      </c>
      <c r="I13" s="3">
        <f t="shared" si="6"/>
        <v>3</v>
      </c>
      <c r="J13" s="3">
        <f t="shared" si="7"/>
        <v>1000</v>
      </c>
      <c r="K13" s="6">
        <f t="shared" si="13"/>
        <v>25000</v>
      </c>
      <c r="L13" s="6">
        <f t="shared" si="8"/>
        <v>1125</v>
      </c>
      <c r="M13" s="46">
        <f t="shared" si="16"/>
        <v>23875</v>
      </c>
      <c r="N13" s="47">
        <f t="shared" si="9"/>
        <v>0</v>
      </c>
      <c r="O13" s="6">
        <f t="shared" si="10"/>
        <v>835.62500000000011</v>
      </c>
      <c r="P13" s="42">
        <f t="shared" si="14"/>
        <v>23039.375</v>
      </c>
      <c r="Q13" s="42" t="str">
        <f t="shared" si="11"/>
        <v>CONTADO</v>
      </c>
      <c r="R13" s="42" t="str">
        <f t="shared" si="15"/>
        <v>Buena Demanda</v>
      </c>
    </row>
    <row r="14" spans="1:18" ht="34.5" customHeight="1" x14ac:dyDescent="0.25">
      <c r="A14" s="3">
        <v>708</v>
      </c>
      <c r="B14" s="3" t="str">
        <f t="shared" si="0"/>
        <v>860504543-1</v>
      </c>
      <c r="C14" s="39" t="str">
        <f t="shared" si="12"/>
        <v>CORPORACIÓN UNIVERSITARIA MARÍA</v>
      </c>
      <c r="D14" s="4">
        <f t="shared" si="1"/>
        <v>5446573</v>
      </c>
      <c r="E14" s="4" t="str">
        <f t="shared" si="2"/>
        <v>Carrera 23 N° 63-36</v>
      </c>
      <c r="F14" s="3" t="str">
        <f t="shared" si="3"/>
        <v>Risaralda</v>
      </c>
      <c r="G14" s="39" t="str">
        <f t="shared" si="4"/>
        <v>LIBRO CONTABLE</v>
      </c>
      <c r="H14" s="3">
        <f t="shared" si="5"/>
        <v>15</v>
      </c>
      <c r="I14" s="3">
        <f t="shared" si="6"/>
        <v>30</v>
      </c>
      <c r="J14" s="3">
        <f t="shared" si="7"/>
        <v>4500</v>
      </c>
      <c r="K14" s="6">
        <f t="shared" si="13"/>
        <v>67500</v>
      </c>
      <c r="L14" s="6">
        <f t="shared" si="8"/>
        <v>2025</v>
      </c>
      <c r="M14" s="46">
        <f t="shared" si="16"/>
        <v>65475</v>
      </c>
      <c r="N14" s="47">
        <f t="shared" si="9"/>
        <v>0</v>
      </c>
      <c r="O14" s="6">
        <f t="shared" si="10"/>
        <v>2291.625</v>
      </c>
      <c r="P14" s="42">
        <f t="shared" si="14"/>
        <v>63183.375</v>
      </c>
      <c r="Q14" s="42" t="str">
        <f t="shared" si="11"/>
        <v>CONTADO</v>
      </c>
      <c r="R14" s="42" t="str">
        <f t="shared" si="15"/>
        <v>Mala Demanda</v>
      </c>
    </row>
    <row r="15" spans="1:18" ht="34.5" customHeight="1" x14ac:dyDescent="0.25">
      <c r="A15" s="3">
        <v>709</v>
      </c>
      <c r="B15" s="3" t="str">
        <f t="shared" si="0"/>
        <v>8605008517-8</v>
      </c>
      <c r="C15" s="39" t="str">
        <f t="shared" si="12"/>
        <v>UNIVERSIDAD ECCI</v>
      </c>
      <c r="D15" s="4">
        <f t="shared" si="1"/>
        <v>3689618</v>
      </c>
      <c r="E15" s="4" t="str">
        <f t="shared" si="2"/>
        <v>Calle 41 N° 27A-56</v>
      </c>
      <c r="F15" s="3" t="str">
        <f t="shared" si="3"/>
        <v>Bolivar</v>
      </c>
      <c r="G15" s="39" t="str">
        <f t="shared" si="4"/>
        <v>CAJA DE COLORES NORMA</v>
      </c>
      <c r="H15" s="3">
        <f t="shared" si="5"/>
        <v>28</v>
      </c>
      <c r="I15" s="3">
        <f t="shared" si="6"/>
        <v>8</v>
      </c>
      <c r="J15" s="3">
        <f t="shared" si="7"/>
        <v>9500</v>
      </c>
      <c r="K15" s="6">
        <f t="shared" si="13"/>
        <v>266000</v>
      </c>
      <c r="L15" s="6">
        <f t="shared" si="8"/>
        <v>11970</v>
      </c>
      <c r="M15" s="46">
        <f t="shared" si="16"/>
        <v>254030</v>
      </c>
      <c r="N15" s="47">
        <f t="shared" si="9"/>
        <v>48265.7</v>
      </c>
      <c r="O15" s="6">
        <f t="shared" si="10"/>
        <v>8891.0500000000011</v>
      </c>
      <c r="P15" s="42">
        <f t="shared" si="14"/>
        <v>293404.65000000002</v>
      </c>
      <c r="Q15" s="42" t="str">
        <f t="shared" si="11"/>
        <v>CRÉDITO</v>
      </c>
      <c r="R15" s="42" t="str">
        <f t="shared" si="15"/>
        <v>Buena Demanda</v>
      </c>
    </row>
    <row r="16" spans="1:18" ht="34.5" customHeight="1" x14ac:dyDescent="0.25">
      <c r="A16" s="3">
        <v>710</v>
      </c>
      <c r="B16" s="3" t="str">
        <f t="shared" si="0"/>
        <v>890985856-3</v>
      </c>
      <c r="C16" s="39" t="str">
        <f t="shared" si="12"/>
        <v>ESCUELA COLOMBIANA DE  INGENIERIA</v>
      </c>
      <c r="D16" s="4">
        <f t="shared" si="1"/>
        <v>2451333</v>
      </c>
      <c r="E16" s="4" t="str">
        <f t="shared" si="2"/>
        <v>Calle 46 N° 13-43</v>
      </c>
      <c r="F16" s="3" t="str">
        <f t="shared" si="3"/>
        <v>Valle del Cauca</v>
      </c>
      <c r="G16" s="39" t="str">
        <f t="shared" si="4"/>
        <v xml:space="preserve">CAJA DE RESMAS TAMAÑO OFICIO </v>
      </c>
      <c r="H16" s="3">
        <f t="shared" si="5"/>
        <v>35</v>
      </c>
      <c r="I16" s="3">
        <f t="shared" si="6"/>
        <v>6</v>
      </c>
      <c r="J16" s="3">
        <f t="shared" si="7"/>
        <v>34890</v>
      </c>
      <c r="K16" s="6">
        <f t="shared" si="13"/>
        <v>1221150</v>
      </c>
      <c r="L16" s="6">
        <f t="shared" si="8"/>
        <v>61057.5</v>
      </c>
      <c r="M16" s="46">
        <f t="shared" si="16"/>
        <v>1160092.5</v>
      </c>
      <c r="N16" s="47">
        <f t="shared" si="9"/>
        <v>220417.57500000001</v>
      </c>
      <c r="O16" s="6">
        <f t="shared" si="10"/>
        <v>0</v>
      </c>
      <c r="P16" s="42">
        <f t="shared" si="14"/>
        <v>1380510.075</v>
      </c>
      <c r="Q16" s="42" t="str">
        <f t="shared" si="11"/>
        <v>CRÉDITO</v>
      </c>
      <c r="R16" s="42" t="str">
        <f t="shared" si="15"/>
        <v>Buena Demanda</v>
      </c>
    </row>
    <row r="17" spans="1:18" ht="34.5" customHeight="1" x14ac:dyDescent="0.25">
      <c r="A17" s="3">
        <v>711</v>
      </c>
      <c r="B17" s="3" t="str">
        <f t="shared" si="0"/>
        <v>800003863-5</v>
      </c>
      <c r="C17" s="39" t="str">
        <f t="shared" si="12"/>
        <v>ESCUELA NACIONAL DE DEPORTE</v>
      </c>
      <c r="D17" s="4">
        <f t="shared" si="1"/>
        <v>2826786</v>
      </c>
      <c r="E17" s="4" t="str">
        <f t="shared" si="2"/>
        <v>Calle 19 N° 3-16</v>
      </c>
      <c r="F17" s="3" t="str">
        <f t="shared" si="3"/>
        <v>Santander</v>
      </c>
      <c r="G17" s="39" t="str">
        <f t="shared" si="4"/>
        <v>LIBRO CONTABLE</v>
      </c>
      <c r="H17" s="3">
        <f t="shared" si="5"/>
        <v>45</v>
      </c>
      <c r="I17" s="3">
        <f t="shared" si="6"/>
        <v>30</v>
      </c>
      <c r="J17" s="3">
        <f t="shared" si="7"/>
        <v>4500</v>
      </c>
      <c r="K17" s="6">
        <f t="shared" si="13"/>
        <v>202500</v>
      </c>
      <c r="L17" s="6">
        <f t="shared" si="8"/>
        <v>10125</v>
      </c>
      <c r="M17" s="46">
        <f t="shared" si="16"/>
        <v>192375</v>
      </c>
      <c r="N17" s="47">
        <f t="shared" si="9"/>
        <v>36551.25</v>
      </c>
      <c r="O17" s="6">
        <f t="shared" si="10"/>
        <v>6733.1250000000009</v>
      </c>
      <c r="P17" s="42">
        <f t="shared" si="14"/>
        <v>222193.125</v>
      </c>
      <c r="Q17" s="42" t="str">
        <f t="shared" si="11"/>
        <v>CONTADO</v>
      </c>
      <c r="R17" s="42" t="str">
        <f t="shared" si="15"/>
        <v>Mala Demanda</v>
      </c>
    </row>
    <row r="18" spans="1:18" ht="34.5" customHeight="1" x14ac:dyDescent="0.25">
      <c r="A18" s="3">
        <v>712</v>
      </c>
      <c r="B18" s="3" t="str">
        <f t="shared" si="0"/>
        <v>860401734-9</v>
      </c>
      <c r="C18" s="39" t="str">
        <f t="shared" si="12"/>
        <v>UNIVERSIDAD NACIONAL</v>
      </c>
      <c r="D18" s="4">
        <f t="shared" si="1"/>
        <v>4500040</v>
      </c>
      <c r="E18" s="4" t="str">
        <f t="shared" si="2"/>
        <v>Calle 48 N° 50-30</v>
      </c>
      <c r="F18" s="3" t="str">
        <f t="shared" si="3"/>
        <v>Antioquia</v>
      </c>
      <c r="G18" s="39" t="str">
        <f t="shared" si="4"/>
        <v>ROLLOS PARA IMPRESORA DE CAJA X 6 U.</v>
      </c>
      <c r="H18" s="3">
        <f t="shared" si="5"/>
        <v>42</v>
      </c>
      <c r="I18" s="3">
        <f t="shared" si="6"/>
        <v>4</v>
      </c>
      <c r="J18" s="3">
        <f t="shared" si="7"/>
        <v>7654</v>
      </c>
      <c r="K18" s="6">
        <f t="shared" si="13"/>
        <v>321468</v>
      </c>
      <c r="L18" s="6">
        <f t="shared" si="8"/>
        <v>16073.400000000001</v>
      </c>
      <c r="M18" s="46">
        <f t="shared" si="16"/>
        <v>305394.59999999998</v>
      </c>
      <c r="N18" s="47">
        <f t="shared" si="9"/>
        <v>58024.973999999995</v>
      </c>
      <c r="O18" s="6">
        <f t="shared" si="10"/>
        <v>10688.811</v>
      </c>
      <c r="P18" s="42">
        <f t="shared" si="14"/>
        <v>352730.76299999998</v>
      </c>
      <c r="Q18" s="42" t="str">
        <f t="shared" si="11"/>
        <v>CONTADO</v>
      </c>
      <c r="R18" s="42" t="str">
        <f t="shared" si="15"/>
        <v>Buena Demanda</v>
      </c>
    </row>
    <row r="19" spans="1:18" ht="46.5" customHeight="1" x14ac:dyDescent="0.25">
      <c r="A19" s="3">
        <v>713</v>
      </c>
      <c r="B19" s="3" t="str">
        <f t="shared" si="0"/>
        <v>864366098-5</v>
      </c>
      <c r="C19" s="39" t="str">
        <f t="shared" si="12"/>
        <v xml:space="preserve">FUNDACIÓN UNIVERSITARIA AUTONOMA </v>
      </c>
      <c r="D19" s="4">
        <f t="shared" si="1"/>
        <v>3078180</v>
      </c>
      <c r="E19" s="4" t="str">
        <f t="shared" si="2"/>
        <v>Calle 34 N° 15-36</v>
      </c>
      <c r="F19" s="3" t="str">
        <f t="shared" si="3"/>
        <v>Risaralda</v>
      </c>
      <c r="G19" s="39" t="str">
        <f t="shared" si="4"/>
        <v>ROLLOS PARA IMPRESORA DE CAJA X 6 U.</v>
      </c>
      <c r="H19" s="3">
        <f t="shared" si="5"/>
        <v>20</v>
      </c>
      <c r="I19" s="3">
        <f t="shared" si="6"/>
        <v>4</v>
      </c>
      <c r="J19" s="3">
        <f t="shared" si="7"/>
        <v>7654</v>
      </c>
      <c r="K19" s="6">
        <f t="shared" si="13"/>
        <v>153080</v>
      </c>
      <c r="L19" s="6">
        <f t="shared" si="8"/>
        <v>4592.3999999999996</v>
      </c>
      <c r="M19" s="46">
        <f t="shared" si="16"/>
        <v>148487.6</v>
      </c>
      <c r="N19" s="47">
        <f t="shared" si="9"/>
        <v>28212.644</v>
      </c>
      <c r="O19" s="6">
        <f t="shared" si="10"/>
        <v>5197.0660000000007</v>
      </c>
      <c r="P19" s="42">
        <f t="shared" si="14"/>
        <v>171503.17800000001</v>
      </c>
      <c r="Q19" s="42" t="str">
        <f t="shared" si="11"/>
        <v>CRÉDITO</v>
      </c>
      <c r="R19" s="42" t="str">
        <f t="shared" si="15"/>
        <v>Buena Demanda</v>
      </c>
    </row>
    <row r="20" spans="1:18" ht="34.5" customHeight="1" x14ac:dyDescent="0.25">
      <c r="A20" s="3">
        <v>714</v>
      </c>
      <c r="B20" s="3" t="str">
        <f t="shared" si="0"/>
        <v>862504543-1</v>
      </c>
      <c r="C20" s="39" t="str">
        <f t="shared" si="12"/>
        <v>CORPORACION ARTES Y OFICIOS</v>
      </c>
      <c r="D20" s="4">
        <f t="shared" si="1"/>
        <v>2321617</v>
      </c>
      <c r="E20" s="4" t="str">
        <f t="shared" si="2"/>
        <v>Calle 33 N° 11-50</v>
      </c>
      <c r="F20" s="3" t="str">
        <f t="shared" si="3"/>
        <v>Nariño</v>
      </c>
      <c r="G20" s="39" t="str">
        <f t="shared" si="4"/>
        <v>BLOCK TAMAÑO CARTA</v>
      </c>
      <c r="H20" s="3">
        <f t="shared" si="5"/>
        <v>29</v>
      </c>
      <c r="I20" s="3">
        <f t="shared" si="6"/>
        <v>2</v>
      </c>
      <c r="J20" s="3">
        <f t="shared" si="7"/>
        <v>2400</v>
      </c>
      <c r="K20" s="6">
        <f t="shared" si="13"/>
        <v>69600</v>
      </c>
      <c r="L20" s="6">
        <f t="shared" si="8"/>
        <v>3132</v>
      </c>
      <c r="M20" s="46">
        <f t="shared" si="16"/>
        <v>66468</v>
      </c>
      <c r="N20" s="47">
        <f t="shared" si="9"/>
        <v>0</v>
      </c>
      <c r="O20" s="6">
        <f t="shared" si="10"/>
        <v>2326.38</v>
      </c>
      <c r="P20" s="42">
        <f t="shared" si="14"/>
        <v>64141.62</v>
      </c>
      <c r="Q20" s="42" t="str">
        <f t="shared" si="11"/>
        <v>CONTADO</v>
      </c>
      <c r="R20" s="42" t="str">
        <f t="shared" si="15"/>
        <v>Buena Demanda</v>
      </c>
    </row>
    <row r="21" spans="1:18" ht="34.5" customHeight="1" x14ac:dyDescent="0.25">
      <c r="A21" s="3">
        <v>715</v>
      </c>
      <c r="B21" s="3" t="str">
        <f t="shared" si="0"/>
        <v>8607108517-8</v>
      </c>
      <c r="C21" s="39" t="str">
        <f t="shared" si="12"/>
        <v>CASA DE LA CULTURA PEDRITO RUIZ</v>
      </c>
      <c r="D21" s="4">
        <f t="shared" si="1"/>
        <v>3232964</v>
      </c>
      <c r="E21" s="4" t="str">
        <f t="shared" si="2"/>
        <v>Carrera 9 N° 45 A-44</v>
      </c>
      <c r="F21" s="3" t="str">
        <f t="shared" si="3"/>
        <v>Valle del Cauca</v>
      </c>
      <c r="G21" s="39" t="str">
        <f t="shared" si="4"/>
        <v>GRAPADORA MEDIANA</v>
      </c>
      <c r="H21" s="3">
        <f t="shared" si="5"/>
        <v>30</v>
      </c>
      <c r="I21" s="3">
        <f t="shared" si="6"/>
        <v>30</v>
      </c>
      <c r="J21" s="3">
        <f t="shared" si="7"/>
        <v>4708</v>
      </c>
      <c r="K21" s="6">
        <f t="shared" si="13"/>
        <v>141240</v>
      </c>
      <c r="L21" s="6">
        <f t="shared" si="8"/>
        <v>6355.8</v>
      </c>
      <c r="M21" s="46">
        <f t="shared" si="16"/>
        <v>134884.20000000001</v>
      </c>
      <c r="N21" s="47">
        <f t="shared" si="9"/>
        <v>25627.998000000003</v>
      </c>
      <c r="O21" s="6">
        <f t="shared" si="10"/>
        <v>4720.947000000001</v>
      </c>
      <c r="P21" s="42">
        <f t="shared" si="14"/>
        <v>155791.25099999999</v>
      </c>
      <c r="Q21" s="42" t="str">
        <f t="shared" si="11"/>
        <v>CRÉDITO</v>
      </c>
      <c r="R21" s="42" t="str">
        <f t="shared" si="15"/>
        <v>Mala Demanda</v>
      </c>
    </row>
    <row r="22" spans="1:18" ht="46.5" customHeight="1" x14ac:dyDescent="0.25">
      <c r="A22" s="3">
        <v>716</v>
      </c>
      <c r="B22" s="3" t="str">
        <f t="shared" si="0"/>
        <v>891995856-3</v>
      </c>
      <c r="C22" s="39" t="str">
        <f t="shared" si="12"/>
        <v>FUNDACIÓN UNIVERSITARIA SAN MARTIN</v>
      </c>
      <c r="D22" s="4">
        <f t="shared" si="1"/>
        <v>7232452</v>
      </c>
      <c r="E22" s="4" t="str">
        <f t="shared" si="2"/>
        <v>Carrera 28 N° 19-24</v>
      </c>
      <c r="F22" s="3" t="str">
        <f t="shared" si="3"/>
        <v>Cundinamarca</v>
      </c>
      <c r="G22" s="39" t="str">
        <f t="shared" si="4"/>
        <v>BLOCK TAMAÑO CARTA</v>
      </c>
      <c r="H22" s="3">
        <f t="shared" si="5"/>
        <v>25</v>
      </c>
      <c r="I22" s="3">
        <f t="shared" si="6"/>
        <v>7</v>
      </c>
      <c r="J22" s="3">
        <f t="shared" si="7"/>
        <v>2400</v>
      </c>
      <c r="K22" s="6">
        <f t="shared" si="13"/>
        <v>60000</v>
      </c>
      <c r="L22" s="6">
        <f t="shared" si="8"/>
        <v>2700</v>
      </c>
      <c r="M22" s="46">
        <f t="shared" si="16"/>
        <v>57300</v>
      </c>
      <c r="N22" s="47">
        <f t="shared" si="9"/>
        <v>0</v>
      </c>
      <c r="O22" s="6">
        <f t="shared" si="10"/>
        <v>2005.5000000000002</v>
      </c>
      <c r="P22" s="42">
        <f t="shared" si="14"/>
        <v>55294.5</v>
      </c>
      <c r="Q22" s="42" t="str">
        <f t="shared" si="11"/>
        <v>CONTADO</v>
      </c>
      <c r="R22" s="42" t="str">
        <f t="shared" si="15"/>
        <v>Buena Demanda</v>
      </c>
    </row>
    <row r="23" spans="1:18" ht="34.5" customHeight="1" x14ac:dyDescent="0.25">
      <c r="A23" s="3">
        <v>717</v>
      </c>
      <c r="B23" s="3" t="str">
        <f t="shared" si="0"/>
        <v>800203863-5</v>
      </c>
      <c r="C23" s="39" t="str">
        <f t="shared" si="12"/>
        <v>INSTITUCIÓN UNIVERSITARIA ESCOLME</v>
      </c>
      <c r="D23" s="4">
        <f t="shared" si="1"/>
        <v>8213000</v>
      </c>
      <c r="E23" s="4" t="str">
        <f t="shared" si="2"/>
        <v>Calle 5 N° 3-85</v>
      </c>
      <c r="F23" s="3" t="str">
        <f t="shared" si="3"/>
        <v>Cundinamarca</v>
      </c>
      <c r="G23" s="39" t="str">
        <f t="shared" si="4"/>
        <v>CAJA LAPIZ MIRADO No. 2   X12 U</v>
      </c>
      <c r="H23" s="3">
        <f t="shared" si="5"/>
        <v>35</v>
      </c>
      <c r="I23" s="3">
        <f t="shared" si="6"/>
        <v>15</v>
      </c>
      <c r="J23" s="3">
        <f t="shared" si="7"/>
        <v>7680</v>
      </c>
      <c r="K23" s="6">
        <f t="shared" si="13"/>
        <v>268800</v>
      </c>
      <c r="L23" s="6">
        <f t="shared" si="8"/>
        <v>13440</v>
      </c>
      <c r="M23" s="46">
        <f t="shared" si="16"/>
        <v>255360</v>
      </c>
      <c r="N23" s="47">
        <f t="shared" si="9"/>
        <v>48518.400000000001</v>
      </c>
      <c r="O23" s="6">
        <f t="shared" si="10"/>
        <v>8937.6</v>
      </c>
      <c r="P23" s="42">
        <f t="shared" si="14"/>
        <v>294940.80000000005</v>
      </c>
      <c r="Q23" s="42" t="str">
        <f t="shared" si="11"/>
        <v>CRÉDITO</v>
      </c>
      <c r="R23" s="42" t="str">
        <f t="shared" si="15"/>
        <v>Mala Demanda</v>
      </c>
    </row>
    <row r="24" spans="1:18" ht="34.5" customHeight="1" x14ac:dyDescent="0.25">
      <c r="A24" s="3">
        <v>718</v>
      </c>
      <c r="B24" s="3" t="str">
        <f t="shared" si="0"/>
        <v>860421734-9</v>
      </c>
      <c r="C24" s="39" t="str">
        <f t="shared" si="12"/>
        <v>FUNDACIÓN UNIVERSITARIA INPAHU</v>
      </c>
      <c r="D24" s="4">
        <f t="shared" si="1"/>
        <v>2459170</v>
      </c>
      <c r="E24" s="4" t="str">
        <f t="shared" si="2"/>
        <v>Calle 30 N° 35-18</v>
      </c>
      <c r="F24" s="3" t="str">
        <f t="shared" si="3"/>
        <v>Atlántico</v>
      </c>
      <c r="G24" s="39" t="str">
        <f t="shared" si="4"/>
        <v>GRAPADORA PEQUEÑA</v>
      </c>
      <c r="H24" s="3">
        <f t="shared" si="5"/>
        <v>37</v>
      </c>
      <c r="I24" s="3">
        <f t="shared" si="6"/>
        <v>30</v>
      </c>
      <c r="J24" s="3">
        <f t="shared" si="7"/>
        <v>2456</v>
      </c>
      <c r="K24" s="6">
        <f t="shared" si="13"/>
        <v>90872</v>
      </c>
      <c r="L24" s="6">
        <f t="shared" si="8"/>
        <v>4543.6000000000004</v>
      </c>
      <c r="M24" s="46">
        <f t="shared" si="16"/>
        <v>86328.4</v>
      </c>
      <c r="N24" s="47">
        <f t="shared" si="9"/>
        <v>0</v>
      </c>
      <c r="O24" s="6">
        <f t="shared" si="10"/>
        <v>3021.4940000000001</v>
      </c>
      <c r="P24" s="42">
        <f t="shared" si="14"/>
        <v>83306.905999999988</v>
      </c>
      <c r="Q24" s="42" t="str">
        <f t="shared" si="11"/>
        <v>CONTADO</v>
      </c>
      <c r="R24" s="42" t="str">
        <f t="shared" si="15"/>
        <v>Mala Demanda</v>
      </c>
    </row>
    <row r="25" spans="1:18" ht="34.5" customHeight="1" x14ac:dyDescent="0.25">
      <c r="A25" s="3">
        <v>719</v>
      </c>
      <c r="B25" s="3" t="str">
        <f t="shared" si="0"/>
        <v>890310903-5</v>
      </c>
      <c r="C25" s="39" t="str">
        <f t="shared" si="12"/>
        <v>UNIVERSIDAD DE ANTIOQUIA</v>
      </c>
      <c r="D25" s="4">
        <f t="shared" si="1"/>
        <v>8213000</v>
      </c>
      <c r="E25" s="4" t="str">
        <f t="shared" si="2"/>
        <v>Calle 5 N° 3-85</v>
      </c>
      <c r="F25" s="3" t="str">
        <f t="shared" si="3"/>
        <v>Antioquia</v>
      </c>
      <c r="G25" s="39" t="str">
        <f t="shared" si="4"/>
        <v>BLOCK TAMAÑO CARTA</v>
      </c>
      <c r="H25" s="3">
        <f t="shared" si="5"/>
        <v>30</v>
      </c>
      <c r="I25" s="3">
        <f t="shared" si="6"/>
        <v>5</v>
      </c>
      <c r="J25" s="3">
        <f t="shared" si="7"/>
        <v>2400</v>
      </c>
      <c r="K25" s="6">
        <f t="shared" si="13"/>
        <v>72000</v>
      </c>
      <c r="L25" s="6">
        <f t="shared" si="8"/>
        <v>3240</v>
      </c>
      <c r="M25" s="46">
        <f t="shared" si="16"/>
        <v>68760</v>
      </c>
      <c r="N25" s="47">
        <f t="shared" si="9"/>
        <v>0</v>
      </c>
      <c r="O25" s="6">
        <f t="shared" si="10"/>
        <v>2406.6000000000004</v>
      </c>
      <c r="P25" s="42">
        <f t="shared" si="14"/>
        <v>66353.399999999994</v>
      </c>
      <c r="Q25" s="42" t="str">
        <f t="shared" si="11"/>
        <v>CRÉDITO</v>
      </c>
      <c r="R25" s="42" t="str">
        <f t="shared" si="15"/>
        <v>Buena Demanda</v>
      </c>
    </row>
    <row r="26" spans="1:18" ht="34.5" customHeight="1" x14ac:dyDescent="0.25">
      <c r="A26" s="3">
        <v>720</v>
      </c>
      <c r="B26" s="3" t="str">
        <f t="shared" si="0"/>
        <v>890212433-5</v>
      </c>
      <c r="C26" s="39" t="str">
        <f t="shared" si="12"/>
        <v>UNIVERSIDAD TÉCNICO AGRÍCOLA ITA</v>
      </c>
      <c r="D26" s="4">
        <f t="shared" si="1"/>
        <v>3172267</v>
      </c>
      <c r="E26" s="4" t="str">
        <f t="shared" si="2"/>
        <v>Carrera 53 N° 59-70</v>
      </c>
      <c r="F26" s="3" t="str">
        <f t="shared" si="3"/>
        <v>Nariño</v>
      </c>
      <c r="G26" s="39" t="str">
        <f t="shared" si="4"/>
        <v>CAJA DE LAPICEROS KILOMETRICO X 12 U</v>
      </c>
      <c r="H26" s="3">
        <f t="shared" si="5"/>
        <v>45</v>
      </c>
      <c r="I26" s="3">
        <f t="shared" si="6"/>
        <v>3</v>
      </c>
      <c r="J26" s="3">
        <f t="shared" si="7"/>
        <v>3500</v>
      </c>
      <c r="K26" s="6">
        <f t="shared" si="13"/>
        <v>157500</v>
      </c>
      <c r="L26" s="6">
        <f t="shared" si="8"/>
        <v>7875</v>
      </c>
      <c r="M26" s="46">
        <f t="shared" si="16"/>
        <v>149625</v>
      </c>
      <c r="N26" s="47">
        <f t="shared" si="9"/>
        <v>28428.75</v>
      </c>
      <c r="O26" s="6">
        <f t="shared" si="10"/>
        <v>5236.8750000000009</v>
      </c>
      <c r="P26" s="42">
        <f t="shared" si="14"/>
        <v>172816.875</v>
      </c>
      <c r="Q26" s="42" t="str">
        <f t="shared" si="11"/>
        <v>CONTADO</v>
      </c>
      <c r="R26" s="42" t="str">
        <f t="shared" si="15"/>
        <v>Buena Demanda</v>
      </c>
    </row>
    <row r="27" spans="1:18" ht="34.5" customHeight="1" x14ac:dyDescent="0.25">
      <c r="A27" s="3">
        <v>721</v>
      </c>
      <c r="B27" s="3" t="str">
        <f t="shared" si="0"/>
        <v>823004609-9</v>
      </c>
      <c r="C27" s="39" t="str">
        <f t="shared" si="12"/>
        <v>INSTITUTO DEPARTAMENTAL ARTES</v>
      </c>
      <c r="D27" s="4">
        <f t="shared" si="1"/>
        <v>6061101</v>
      </c>
      <c r="E27" s="4" t="str">
        <f t="shared" si="2"/>
        <v>Calle 70 N° 10 A-39</v>
      </c>
      <c r="F27" s="3" t="str">
        <f t="shared" si="3"/>
        <v>Risaralda</v>
      </c>
      <c r="G27" s="39" t="str">
        <f t="shared" si="4"/>
        <v>CARPETAS PARA ARCHIVO TAMAÑO OFICIO</v>
      </c>
      <c r="H27" s="3">
        <f t="shared" si="5"/>
        <v>32</v>
      </c>
      <c r="I27" s="3">
        <f t="shared" si="6"/>
        <v>30</v>
      </c>
      <c r="J27" s="3">
        <f t="shared" si="7"/>
        <v>7100</v>
      </c>
      <c r="K27" s="6">
        <f t="shared" si="13"/>
        <v>227200</v>
      </c>
      <c r="L27" s="6">
        <f t="shared" si="8"/>
        <v>11360</v>
      </c>
      <c r="M27" s="46">
        <f t="shared" si="16"/>
        <v>215840</v>
      </c>
      <c r="N27" s="47">
        <f t="shared" si="9"/>
        <v>41009.599999999999</v>
      </c>
      <c r="O27" s="6">
        <f t="shared" si="10"/>
        <v>7554.4000000000005</v>
      </c>
      <c r="P27" s="42">
        <f t="shared" si="14"/>
        <v>249295.2</v>
      </c>
      <c r="Q27" s="42" t="str">
        <f t="shared" si="11"/>
        <v>CRÉDITO</v>
      </c>
      <c r="R27" s="42" t="str">
        <f t="shared" si="15"/>
        <v>Mala Demanda</v>
      </c>
    </row>
    <row r="28" spans="1:18" ht="34.5" customHeight="1" x14ac:dyDescent="0.25">
      <c r="A28" s="3">
        <v>722</v>
      </c>
      <c r="B28" s="3" t="str">
        <f t="shared" si="0"/>
        <v>890982134-3</v>
      </c>
      <c r="C28" s="39" t="str">
        <f t="shared" si="12"/>
        <v>UNIVERSIDAD ANTIONIO JOSÉ</v>
      </c>
      <c r="D28" s="4">
        <f t="shared" si="1"/>
        <v>2812282</v>
      </c>
      <c r="E28" s="4" t="str">
        <f t="shared" si="2"/>
        <v>Calle 27 N° 21-49</v>
      </c>
      <c r="F28" s="3" t="str">
        <f t="shared" si="3"/>
        <v>Sucre</v>
      </c>
      <c r="G28" s="39" t="str">
        <f t="shared" si="4"/>
        <v>CARPETAS PARA ARCHIVO TAMAÑO CARTA</v>
      </c>
      <c r="H28" s="3">
        <f t="shared" si="5"/>
        <v>24</v>
      </c>
      <c r="I28" s="3">
        <f t="shared" si="6"/>
        <v>30</v>
      </c>
      <c r="J28" s="3">
        <f t="shared" si="7"/>
        <v>4500</v>
      </c>
      <c r="K28" s="6">
        <f t="shared" si="13"/>
        <v>108000</v>
      </c>
      <c r="L28" s="6">
        <f t="shared" si="8"/>
        <v>4860</v>
      </c>
      <c r="M28" s="46">
        <f t="shared" si="16"/>
        <v>103140</v>
      </c>
      <c r="N28" s="47">
        <f t="shared" si="9"/>
        <v>19596.599999999999</v>
      </c>
      <c r="O28" s="6">
        <f t="shared" si="10"/>
        <v>3609.9000000000005</v>
      </c>
      <c r="P28" s="42">
        <f t="shared" si="14"/>
        <v>119126.70000000001</v>
      </c>
      <c r="Q28" s="42" t="str">
        <f t="shared" si="11"/>
        <v>CONTADO</v>
      </c>
      <c r="R28" s="42" t="str">
        <f t="shared" si="15"/>
        <v>Mala Demanda</v>
      </c>
    </row>
    <row r="29" spans="1:18" ht="43.5" customHeight="1" x14ac:dyDescent="0.25">
      <c r="A29" s="3">
        <v>723</v>
      </c>
      <c r="B29" s="3" t="str">
        <f t="shared" si="0"/>
        <v>892480054-9</v>
      </c>
      <c r="C29" s="39" t="str">
        <f t="shared" si="12"/>
        <v>INSTITUCIÓN DE EDUCACIÓN EMPRESARIAL</v>
      </c>
      <c r="D29" s="4">
        <f t="shared" si="1"/>
        <v>2804017</v>
      </c>
      <c r="E29" s="4" t="str">
        <f t="shared" si="2"/>
        <v>Calle 21 N° 6-01</v>
      </c>
      <c r="F29" s="3" t="str">
        <f t="shared" si="3"/>
        <v>Sucre</v>
      </c>
      <c r="G29" s="39" t="str">
        <f t="shared" si="4"/>
        <v>CARPETAS PARA ARCHIVO TAMAÑO CARTA</v>
      </c>
      <c r="H29" s="3">
        <f t="shared" si="5"/>
        <v>21</v>
      </c>
      <c r="I29" s="3">
        <f t="shared" si="6"/>
        <v>30</v>
      </c>
      <c r="J29" s="3">
        <f t="shared" si="7"/>
        <v>4500</v>
      </c>
      <c r="K29" s="6">
        <f t="shared" si="13"/>
        <v>94500</v>
      </c>
      <c r="L29" s="6">
        <f t="shared" si="8"/>
        <v>4252.5</v>
      </c>
      <c r="M29" s="46">
        <f t="shared" si="16"/>
        <v>90247.5</v>
      </c>
      <c r="N29" s="47">
        <f t="shared" si="9"/>
        <v>17147.025000000001</v>
      </c>
      <c r="O29" s="6">
        <f t="shared" si="10"/>
        <v>3158.6625000000004</v>
      </c>
      <c r="P29" s="42">
        <f t="shared" si="14"/>
        <v>104235.86249999999</v>
      </c>
      <c r="Q29" s="42" t="str">
        <f t="shared" si="11"/>
        <v>CRÉDITO</v>
      </c>
      <c r="R29" s="42" t="str">
        <f t="shared" si="15"/>
        <v>Mala Demanda</v>
      </c>
    </row>
    <row r="30" spans="1:18" ht="34.5" customHeight="1" x14ac:dyDescent="0.25">
      <c r="A30" s="3">
        <v>724</v>
      </c>
      <c r="B30" s="3" t="str">
        <f t="shared" si="0"/>
        <v>891421189-6</v>
      </c>
      <c r="C30" s="39" t="str">
        <f t="shared" si="12"/>
        <v xml:space="preserve">UNIVERSIDAD CENTRAL </v>
      </c>
      <c r="D30" s="4">
        <f t="shared" si="1"/>
        <v>3681013</v>
      </c>
      <c r="E30" s="4" t="str">
        <f t="shared" si="2"/>
        <v>Carrera 50 N° 79-155</v>
      </c>
      <c r="F30" s="3" t="str">
        <f t="shared" si="3"/>
        <v>Valle del Cauca</v>
      </c>
      <c r="G30" s="39" t="str">
        <f t="shared" si="4"/>
        <v xml:space="preserve">MORRAL </v>
      </c>
      <c r="H30" s="3">
        <f t="shared" si="5"/>
        <v>26</v>
      </c>
      <c r="I30" s="3">
        <f t="shared" si="6"/>
        <v>30</v>
      </c>
      <c r="J30" s="3">
        <f t="shared" si="7"/>
        <v>24000</v>
      </c>
      <c r="K30" s="6">
        <f t="shared" si="13"/>
        <v>624000</v>
      </c>
      <c r="L30" s="6">
        <f t="shared" si="8"/>
        <v>28080</v>
      </c>
      <c r="M30" s="46">
        <f t="shared" si="16"/>
        <v>595920</v>
      </c>
      <c r="N30" s="47">
        <f t="shared" si="9"/>
        <v>113224.8</v>
      </c>
      <c r="O30" s="6">
        <f t="shared" si="10"/>
        <v>0</v>
      </c>
      <c r="P30" s="42">
        <f t="shared" si="14"/>
        <v>709144.8</v>
      </c>
      <c r="Q30" s="42" t="str">
        <f t="shared" si="11"/>
        <v>CONTADO</v>
      </c>
      <c r="R30" s="42" t="str">
        <f t="shared" si="15"/>
        <v>Mala Demanda</v>
      </c>
    </row>
    <row r="31" spans="1:18" ht="34.5" customHeight="1" x14ac:dyDescent="0.25">
      <c r="A31" s="3">
        <v>725</v>
      </c>
      <c r="B31" s="3" t="str">
        <f t="shared" si="0"/>
        <v>8902704562-5</v>
      </c>
      <c r="C31" s="39" t="str">
        <f t="shared" si="12"/>
        <v>UNIVERSIDAD EAFIT</v>
      </c>
      <c r="D31" s="4">
        <f t="shared" si="1"/>
        <v>3489292</v>
      </c>
      <c r="E31" s="4" t="str">
        <f t="shared" si="2"/>
        <v>Calle 67 N° 5-27</v>
      </c>
      <c r="F31" s="3" t="str">
        <f t="shared" si="3"/>
        <v>Antioquia</v>
      </c>
      <c r="G31" s="39" t="str">
        <f t="shared" si="4"/>
        <v xml:space="preserve">MORRAL </v>
      </c>
      <c r="H31" s="3">
        <f t="shared" si="5"/>
        <v>39</v>
      </c>
      <c r="I31" s="3">
        <f t="shared" si="6"/>
        <v>30</v>
      </c>
      <c r="J31" s="3">
        <f t="shared" si="7"/>
        <v>24000</v>
      </c>
      <c r="K31" s="6">
        <f t="shared" si="13"/>
        <v>936000</v>
      </c>
      <c r="L31" s="6">
        <f t="shared" si="8"/>
        <v>46800</v>
      </c>
      <c r="M31" s="46">
        <f t="shared" si="16"/>
        <v>889200</v>
      </c>
      <c r="N31" s="47">
        <f t="shared" si="9"/>
        <v>168948</v>
      </c>
      <c r="O31" s="6">
        <f t="shared" si="10"/>
        <v>0</v>
      </c>
      <c r="P31" s="42">
        <f t="shared" si="14"/>
        <v>1058148</v>
      </c>
      <c r="Q31" s="42" t="str">
        <f t="shared" si="11"/>
        <v>CRÉDITO</v>
      </c>
      <c r="R31" s="42" t="str">
        <f t="shared" si="15"/>
        <v>Mala Demanda</v>
      </c>
    </row>
    <row r="32" spans="1:18" ht="34.5" customHeight="1" x14ac:dyDescent="0.25">
      <c r="A32" s="3">
        <v>726</v>
      </c>
      <c r="B32" s="3" t="str">
        <f t="shared" si="0"/>
        <v>891204706-2</v>
      </c>
      <c r="C32" s="39" t="str">
        <f t="shared" si="12"/>
        <v>UNIVERSIDAD DE LOS ANDES</v>
      </c>
      <c r="D32" s="4">
        <f t="shared" si="1"/>
        <v>2916520</v>
      </c>
      <c r="E32" s="4" t="str">
        <f t="shared" si="2"/>
        <v>Calle 81 B N° 79-155</v>
      </c>
      <c r="F32" s="3" t="str">
        <f t="shared" si="3"/>
        <v>Cundinamarca</v>
      </c>
      <c r="G32" s="39" t="str">
        <f t="shared" si="4"/>
        <v xml:space="preserve">CRAYOLAS </v>
      </c>
      <c r="H32" s="3">
        <f t="shared" si="5"/>
        <v>41</v>
      </c>
      <c r="I32" s="3">
        <f t="shared" si="6"/>
        <v>4</v>
      </c>
      <c r="J32" s="3">
        <f t="shared" si="7"/>
        <v>1000</v>
      </c>
      <c r="K32" s="6">
        <f t="shared" si="13"/>
        <v>41000</v>
      </c>
      <c r="L32" s="6">
        <f t="shared" si="8"/>
        <v>2050</v>
      </c>
      <c r="M32" s="46">
        <f t="shared" si="16"/>
        <v>38950</v>
      </c>
      <c r="N32" s="47">
        <f t="shared" si="9"/>
        <v>0</v>
      </c>
      <c r="O32" s="6">
        <f t="shared" si="10"/>
        <v>1363.2500000000002</v>
      </c>
      <c r="P32" s="42">
        <f t="shared" si="14"/>
        <v>37586.75</v>
      </c>
      <c r="Q32" s="42" t="str">
        <f t="shared" si="11"/>
        <v>CONTADO</v>
      </c>
      <c r="R32" s="42" t="str">
        <f t="shared" si="15"/>
        <v>Buena Demanda</v>
      </c>
    </row>
    <row r="33" spans="1:18" ht="46.5" customHeight="1" x14ac:dyDescent="0.25">
      <c r="A33" s="3">
        <v>727</v>
      </c>
      <c r="B33" s="3" t="str">
        <f t="shared" si="0"/>
        <v>893500248-9</v>
      </c>
      <c r="C33" s="39" t="str">
        <f t="shared" si="12"/>
        <v>UNIVERSIDAD AUTONOMA DE OCCIDENTE</v>
      </c>
      <c r="D33" s="4">
        <f t="shared" si="1"/>
        <v>5132100</v>
      </c>
      <c r="E33" s="4" t="str">
        <f t="shared" si="2"/>
        <v>Calle 51 N° 72 A-70</v>
      </c>
      <c r="F33" s="3" t="str">
        <f t="shared" si="3"/>
        <v>Cundinamarca</v>
      </c>
      <c r="G33" s="39" t="str">
        <f t="shared" si="4"/>
        <v>CAJA DE COLORES NORMA</v>
      </c>
      <c r="H33" s="3">
        <f t="shared" si="5"/>
        <v>43</v>
      </c>
      <c r="I33" s="3">
        <f t="shared" si="6"/>
        <v>7</v>
      </c>
      <c r="J33" s="3">
        <f t="shared" si="7"/>
        <v>9500</v>
      </c>
      <c r="K33" s="6">
        <f t="shared" si="13"/>
        <v>408500</v>
      </c>
      <c r="L33" s="6">
        <f t="shared" si="8"/>
        <v>20425</v>
      </c>
      <c r="M33" s="46">
        <f t="shared" si="16"/>
        <v>388075</v>
      </c>
      <c r="N33" s="47">
        <f t="shared" si="9"/>
        <v>73734.25</v>
      </c>
      <c r="O33" s="6">
        <f t="shared" si="10"/>
        <v>13582.625000000002</v>
      </c>
      <c r="P33" s="42">
        <f t="shared" si="14"/>
        <v>448226.625</v>
      </c>
      <c r="Q33" s="42" t="str">
        <f t="shared" si="11"/>
        <v>CRÉDITO</v>
      </c>
      <c r="R33" s="42" t="str">
        <f t="shared" si="15"/>
        <v>Buena Demanda</v>
      </c>
    </row>
    <row r="34" spans="1:18" ht="34.5" customHeight="1" x14ac:dyDescent="0.25">
      <c r="A34" s="3">
        <v>728</v>
      </c>
      <c r="B34" s="3" t="str">
        <f t="shared" si="0"/>
        <v>860503837-7</v>
      </c>
      <c r="C34" s="39" t="str">
        <f t="shared" si="12"/>
        <v>UNIPANAMERICANA</v>
      </c>
      <c r="D34" s="4">
        <f t="shared" si="1"/>
        <v>7434343</v>
      </c>
      <c r="E34" s="4" t="str">
        <f t="shared" si="2"/>
        <v>Calle 76 N° 12-58</v>
      </c>
      <c r="F34" s="3" t="str">
        <f t="shared" si="3"/>
        <v>Risaralda</v>
      </c>
      <c r="G34" s="39" t="str">
        <f t="shared" si="4"/>
        <v xml:space="preserve">CRAYOLAS </v>
      </c>
      <c r="H34" s="3">
        <f t="shared" si="5"/>
        <v>22</v>
      </c>
      <c r="I34" s="3">
        <f t="shared" si="6"/>
        <v>5</v>
      </c>
      <c r="J34" s="3">
        <f t="shared" si="7"/>
        <v>1000</v>
      </c>
      <c r="K34" s="6">
        <f t="shared" si="13"/>
        <v>22000</v>
      </c>
      <c r="L34" s="6">
        <f t="shared" si="8"/>
        <v>990</v>
      </c>
      <c r="M34" s="46">
        <f t="shared" si="16"/>
        <v>21010</v>
      </c>
      <c r="N34" s="47">
        <f t="shared" si="9"/>
        <v>0</v>
      </c>
      <c r="O34" s="6">
        <f t="shared" si="10"/>
        <v>735.35</v>
      </c>
      <c r="P34" s="42">
        <f t="shared" si="14"/>
        <v>20274.650000000001</v>
      </c>
      <c r="Q34" s="42" t="str">
        <f t="shared" si="11"/>
        <v>CRÉDITO</v>
      </c>
      <c r="R34" s="42" t="str">
        <f t="shared" si="15"/>
        <v>Buena Demanda</v>
      </c>
    </row>
    <row r="35" spans="1:18" ht="34.5" customHeight="1" x14ac:dyDescent="0.25">
      <c r="A35" s="3">
        <v>729</v>
      </c>
      <c r="B35" s="3" t="str">
        <f t="shared" si="0"/>
        <v>811005425-1</v>
      </c>
      <c r="C35" s="39" t="str">
        <f t="shared" si="12"/>
        <v>UNIVERSIDAD DE PAMPLONA</v>
      </c>
      <c r="D35" s="4">
        <f t="shared" si="1"/>
        <v>2320606</v>
      </c>
      <c r="E35" s="4" t="str">
        <f t="shared" si="2"/>
        <v>Carrera 19 N° 49-20</v>
      </c>
      <c r="F35" s="3" t="str">
        <f t="shared" si="3"/>
        <v>Sucre</v>
      </c>
      <c r="G35" s="39" t="str">
        <f t="shared" si="4"/>
        <v>GRAPADORA MEDIANA</v>
      </c>
      <c r="H35" s="3">
        <f t="shared" si="5"/>
        <v>20</v>
      </c>
      <c r="I35" s="3">
        <f t="shared" si="6"/>
        <v>30</v>
      </c>
      <c r="J35" s="3">
        <f t="shared" si="7"/>
        <v>4708</v>
      </c>
      <c r="K35" s="6">
        <f t="shared" si="13"/>
        <v>94160</v>
      </c>
      <c r="L35" s="6">
        <f t="shared" si="8"/>
        <v>2824.7999999999997</v>
      </c>
      <c r="M35" s="46">
        <f t="shared" si="16"/>
        <v>91335.2</v>
      </c>
      <c r="N35" s="47">
        <f t="shared" si="9"/>
        <v>17353.687999999998</v>
      </c>
      <c r="O35" s="6">
        <f t="shared" si="10"/>
        <v>3196.7320000000004</v>
      </c>
      <c r="P35" s="42">
        <f t="shared" si="14"/>
        <v>105492.15599999999</v>
      </c>
      <c r="Q35" s="42" t="str">
        <f t="shared" si="11"/>
        <v>CONTADO</v>
      </c>
      <c r="R35" s="42" t="str">
        <f t="shared" si="15"/>
        <v>Mala Demanda</v>
      </c>
    </row>
    <row r="36" spans="1:18" ht="34.5" customHeight="1" x14ac:dyDescent="0.25">
      <c r="A36" s="3">
        <v>730</v>
      </c>
      <c r="B36" s="3" t="str">
        <f t="shared" si="0"/>
        <v>860510627-6</v>
      </c>
      <c r="C36" s="39" t="str">
        <f t="shared" si="12"/>
        <v>UNIVERSIDAD DEL ATLÁNTICO</v>
      </c>
      <c r="D36" s="4">
        <f t="shared" si="1"/>
        <v>2880693</v>
      </c>
      <c r="E36" s="4" t="str">
        <f t="shared" si="2"/>
        <v>Calle 9 N° 34-01</v>
      </c>
      <c r="F36" s="3" t="str">
        <f t="shared" si="3"/>
        <v xml:space="preserve">Atlántico </v>
      </c>
      <c r="G36" s="39" t="str">
        <f t="shared" si="4"/>
        <v xml:space="preserve">MORRAL </v>
      </c>
      <c r="H36" s="3">
        <f t="shared" si="5"/>
        <v>10</v>
      </c>
      <c r="I36" s="3">
        <f t="shared" si="6"/>
        <v>30</v>
      </c>
      <c r="J36" s="3">
        <f t="shared" si="7"/>
        <v>24000</v>
      </c>
      <c r="K36" s="6">
        <f t="shared" si="13"/>
        <v>240000</v>
      </c>
      <c r="L36" s="6">
        <f t="shared" si="8"/>
        <v>7200</v>
      </c>
      <c r="M36" s="46">
        <f t="shared" si="16"/>
        <v>232800</v>
      </c>
      <c r="N36" s="47">
        <f t="shared" si="9"/>
        <v>44232</v>
      </c>
      <c r="O36" s="6">
        <f t="shared" si="10"/>
        <v>8148.0000000000009</v>
      </c>
      <c r="P36" s="42">
        <f t="shared" si="14"/>
        <v>268884</v>
      </c>
      <c r="Q36" s="42" t="str">
        <f t="shared" si="11"/>
        <v>CONTADO</v>
      </c>
      <c r="R36" s="42" t="str">
        <f t="shared" si="15"/>
        <v>Mala Demanda</v>
      </c>
    </row>
    <row r="37" spans="1:18" x14ac:dyDescent="0.25">
      <c r="A37" s="15"/>
      <c r="I37" s="3" t="str">
        <f t="shared" si="6"/>
        <v/>
      </c>
      <c r="J37" s="14"/>
      <c r="K37" s="14"/>
      <c r="L37" s="6"/>
      <c r="M37" s="6"/>
      <c r="N37" s="47"/>
      <c r="O37" s="6"/>
      <c r="P37" s="7"/>
      <c r="Q37" s="7" t="str">
        <f t="shared" si="11"/>
        <v/>
      </c>
      <c r="R37" s="42"/>
    </row>
    <row r="38" spans="1:18" x14ac:dyDescent="0.25">
      <c r="I38" s="41" t="str">
        <f t="shared" si="6"/>
        <v/>
      </c>
      <c r="L38" s="52"/>
      <c r="M38" s="52"/>
      <c r="N38" s="53"/>
      <c r="O38" s="52"/>
      <c r="P38" s="43"/>
      <c r="Q38" s="43" t="str">
        <f t="shared" si="11"/>
        <v/>
      </c>
      <c r="R38" s="54"/>
    </row>
    <row r="39" spans="1:18" x14ac:dyDescent="0.25">
      <c r="I39" s="41" t="str">
        <f t="shared" si="6"/>
        <v/>
      </c>
      <c r="L39" s="52"/>
      <c r="M39" s="52"/>
      <c r="N39" s="53"/>
      <c r="O39" s="52"/>
      <c r="P39" s="43"/>
      <c r="Q39" s="43" t="str">
        <f t="shared" si="11"/>
        <v/>
      </c>
      <c r="R39" s="54"/>
    </row>
    <row r="40" spans="1:18" x14ac:dyDescent="0.25">
      <c r="I40" s="41" t="str">
        <f t="shared" si="6"/>
        <v/>
      </c>
      <c r="L40" s="52"/>
      <c r="M40" s="52"/>
      <c r="N40" s="53"/>
      <c r="O40" s="52"/>
      <c r="P40" s="43"/>
      <c r="Q40" s="43" t="str">
        <f t="shared" si="11"/>
        <v/>
      </c>
      <c r="R40" s="54"/>
    </row>
    <row r="41" spans="1:18" x14ac:dyDescent="0.25">
      <c r="I41" s="41" t="str">
        <f t="shared" si="6"/>
        <v/>
      </c>
      <c r="L41" s="52"/>
      <c r="M41" s="52"/>
      <c r="N41" s="53"/>
      <c r="O41" s="52"/>
      <c r="P41" s="43"/>
      <c r="Q41" s="43" t="str">
        <f t="shared" si="11"/>
        <v/>
      </c>
      <c r="R41" s="54"/>
    </row>
    <row r="42" spans="1:18" x14ac:dyDescent="0.25">
      <c r="I42" s="41" t="str">
        <f t="shared" si="6"/>
        <v/>
      </c>
      <c r="L42" s="52"/>
      <c r="M42" s="52"/>
      <c r="N42" s="53"/>
      <c r="O42" s="52"/>
      <c r="P42" s="43"/>
      <c r="Q42" s="43" t="str">
        <f t="shared" si="11"/>
        <v/>
      </c>
      <c r="R42" s="54"/>
    </row>
    <row r="43" spans="1:18" x14ac:dyDescent="0.25">
      <c r="I43" s="41" t="str">
        <f t="shared" si="6"/>
        <v/>
      </c>
      <c r="L43" s="52"/>
      <c r="M43" s="52"/>
      <c r="N43" s="53"/>
      <c r="O43" s="52"/>
      <c r="P43" s="43"/>
      <c r="Q43" s="43" t="str">
        <f t="shared" si="11"/>
        <v/>
      </c>
      <c r="R43" s="54"/>
    </row>
    <row r="44" spans="1:18" x14ac:dyDescent="0.25">
      <c r="C44" s="49"/>
      <c r="D44" s="20"/>
      <c r="E44" s="20"/>
      <c r="I44" s="41" t="str">
        <f t="shared" si="6"/>
        <v/>
      </c>
      <c r="L44" s="52"/>
      <c r="M44" s="52"/>
      <c r="N44" s="53"/>
      <c r="O44" s="52"/>
      <c r="P44" s="43"/>
      <c r="Q44" s="43" t="str">
        <f t="shared" si="11"/>
        <v/>
      </c>
      <c r="R44" s="54"/>
    </row>
    <row r="47" spans="1:18" x14ac:dyDescent="0.25">
      <c r="B47" s="3" t="str">
        <f>IF(ISBLANK(A37),"",IF(ISERROR(VLOOKUP(A37,bdpapeleria,2,FALSE)),"El dato no existe",VLOOKUP(A37,bdpapeleria,2,FALSE)))</f>
        <v/>
      </c>
      <c r="C47" s="85" t="s">
        <v>72</v>
      </c>
      <c r="D47" s="85"/>
      <c r="E47" s="85"/>
      <c r="F47" s="85"/>
      <c r="G47" s="85"/>
      <c r="H47" s="85"/>
    </row>
    <row r="48" spans="1:18" x14ac:dyDescent="0.25">
      <c r="B48" s="36" t="s">
        <v>73</v>
      </c>
      <c r="C48" s="40">
        <f>SUM(H7:H36)</f>
        <v>891</v>
      </c>
      <c r="D48" s="48"/>
      <c r="E48" s="45" t="s">
        <v>8</v>
      </c>
      <c r="F48" s="45">
        <v>0.03</v>
      </c>
      <c r="G48" s="44">
        <v>4.4999999999999998E-2</v>
      </c>
      <c r="H48" s="45">
        <v>0.05</v>
      </c>
    </row>
    <row r="49" spans="2:8" x14ac:dyDescent="0.25">
      <c r="B49" s="36" t="s">
        <v>74</v>
      </c>
      <c r="C49" s="55">
        <f>SUM(M7:M36)</f>
        <v>7957042.7000000002</v>
      </c>
      <c r="D49" s="20"/>
      <c r="E49" s="50" t="s">
        <v>10</v>
      </c>
      <c r="F49" s="45">
        <v>0.19</v>
      </c>
      <c r="G49" s="51"/>
      <c r="H49" s="51"/>
    </row>
    <row r="50" spans="2:8" x14ac:dyDescent="0.25">
      <c r="B50" s="36" t="s">
        <v>12</v>
      </c>
      <c r="C50" s="55">
        <f>SUM(P7:P36)</f>
        <v>9253155.7395000011</v>
      </c>
      <c r="D50" s="20"/>
      <c r="E50" s="50" t="s">
        <v>163</v>
      </c>
      <c r="F50" s="44">
        <v>3.5000000000000003E-2</v>
      </c>
      <c r="G50" s="51"/>
      <c r="H50" s="51"/>
    </row>
    <row r="51" spans="2:8" x14ac:dyDescent="0.25">
      <c r="B51" s="36" t="s">
        <v>75</v>
      </c>
      <c r="C51" s="55">
        <f>AVERAGE(P7:P36)</f>
        <v>308438.52465000004</v>
      </c>
      <c r="D51" s="20"/>
      <c r="E51" s="20"/>
    </row>
    <row r="52" spans="2:8" x14ac:dyDescent="0.25">
      <c r="B52" s="36" t="s">
        <v>76</v>
      </c>
      <c r="C52" s="55">
        <f>MAX(P7:P36)</f>
        <v>1380510.075</v>
      </c>
      <c r="D52" s="20"/>
      <c r="E52" s="20"/>
    </row>
    <row r="53" spans="2:8" x14ac:dyDescent="0.25">
      <c r="B53" s="36" t="s">
        <v>77</v>
      </c>
      <c r="C53" s="55">
        <f>MIN(P7:P36)</f>
        <v>20274.650000000001</v>
      </c>
      <c r="D53" s="20"/>
      <c r="E53" s="20"/>
    </row>
  </sheetData>
  <mergeCells count="3">
    <mergeCell ref="A2:P2"/>
    <mergeCell ref="A4:P4"/>
    <mergeCell ref="C47:H47"/>
  </mergeCells>
  <pageMargins left="0.7" right="0.7" top="0.75" bottom="0.75" header="0.3" footer="0.3"/>
  <pageSetup orientation="portrait" horizontalDpi="4294967294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E1" workbookViewId="0">
      <selection activeCell="L2" sqref="L2"/>
    </sheetView>
  </sheetViews>
  <sheetFormatPr baseColWidth="10" defaultRowHeight="15" x14ac:dyDescent="0.25"/>
  <cols>
    <col min="1" max="1" width="11.7109375" customWidth="1"/>
    <col min="4" max="4" width="46.42578125" customWidth="1"/>
    <col min="5" max="5" width="12" customWidth="1"/>
    <col min="8" max="8" width="39.7109375" customWidth="1"/>
    <col min="9" max="9" width="12" customWidth="1"/>
    <col min="12" max="12" width="17.5703125" bestFit="1" customWidth="1"/>
    <col min="13" max="13" width="12" customWidth="1"/>
  </cols>
  <sheetData>
    <row r="1" spans="1:13" x14ac:dyDescent="0.25">
      <c r="A1" t="s">
        <v>181</v>
      </c>
      <c r="D1" s="64" t="s">
        <v>176</v>
      </c>
      <c r="E1" s="51" t="s">
        <v>182</v>
      </c>
      <c r="H1" s="64" t="s">
        <v>176</v>
      </c>
      <c r="I1" s="51" t="s">
        <v>182</v>
      </c>
      <c r="L1" s="64" t="s">
        <v>176</v>
      </c>
      <c r="M1" s="51" t="s">
        <v>182</v>
      </c>
    </row>
    <row r="2" spans="1:13" x14ac:dyDescent="0.25">
      <c r="A2" s="67">
        <v>9253155.7395000011</v>
      </c>
      <c r="D2" s="65" t="s">
        <v>43</v>
      </c>
      <c r="E2" s="67">
        <v>1380510.075</v>
      </c>
      <c r="H2" s="65" t="s">
        <v>33</v>
      </c>
      <c r="I2" s="67">
        <v>2761020.15</v>
      </c>
      <c r="L2" s="65" t="s">
        <v>93</v>
      </c>
      <c r="M2" s="67">
        <v>4875182.511500001</v>
      </c>
    </row>
    <row r="3" spans="1:13" x14ac:dyDescent="0.25">
      <c r="D3" s="65" t="s">
        <v>52</v>
      </c>
      <c r="E3" s="67">
        <v>1380510.075</v>
      </c>
      <c r="H3" s="65" t="s">
        <v>41</v>
      </c>
      <c r="I3" s="67">
        <v>2036176.8</v>
      </c>
      <c r="L3" s="65" t="s">
        <v>92</v>
      </c>
      <c r="M3" s="67">
        <v>4377973.2280000001</v>
      </c>
    </row>
    <row r="4" spans="1:13" x14ac:dyDescent="0.25">
      <c r="D4" s="65" t="s">
        <v>65</v>
      </c>
      <c r="E4" s="67">
        <v>1058148</v>
      </c>
      <c r="H4" s="65" t="s">
        <v>37</v>
      </c>
      <c r="I4" s="67">
        <v>869351.17500000005</v>
      </c>
      <c r="L4" s="65" t="s">
        <v>165</v>
      </c>
      <c r="M4" s="67">
        <v>9253155.7395000011</v>
      </c>
    </row>
    <row r="5" spans="1:13" x14ac:dyDescent="0.25">
      <c r="D5" s="65" t="s">
        <v>64</v>
      </c>
      <c r="E5" s="67">
        <v>709144.8</v>
      </c>
      <c r="H5" s="65" t="s">
        <v>13</v>
      </c>
      <c r="I5" s="67">
        <v>592802.30799999996</v>
      </c>
    </row>
    <row r="6" spans="1:13" x14ac:dyDescent="0.25">
      <c r="D6" s="65" t="s">
        <v>44</v>
      </c>
      <c r="E6" s="67">
        <v>592802.30799999996</v>
      </c>
      <c r="H6" s="65" t="s">
        <v>36</v>
      </c>
      <c r="I6" s="67">
        <v>584285.625</v>
      </c>
    </row>
    <row r="7" spans="1:13" x14ac:dyDescent="0.25">
      <c r="D7" s="65" t="s">
        <v>165</v>
      </c>
      <c r="E7" s="67">
        <v>5121115.2579999994</v>
      </c>
      <c r="H7" s="65" t="s">
        <v>165</v>
      </c>
      <c r="I7" s="67">
        <v>6843636.0579999993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2" sqref="A2:B7"/>
    </sheetView>
  </sheetViews>
  <sheetFormatPr baseColWidth="10" defaultRowHeight="15" x14ac:dyDescent="0.25"/>
  <cols>
    <col min="1" max="1" width="18.28515625" customWidth="1"/>
    <col min="2" max="2" width="14.140625" bestFit="1" customWidth="1"/>
    <col min="4" max="4" width="25.140625" customWidth="1"/>
    <col min="5" max="5" width="45.42578125" customWidth="1"/>
    <col min="6" max="6" width="14.140625" bestFit="1" customWidth="1"/>
    <col min="7" max="7" width="18.42578125" customWidth="1"/>
    <col min="9" max="9" width="39.42578125" customWidth="1"/>
    <col min="10" max="10" width="14.140625" bestFit="1" customWidth="1"/>
    <col min="11" max="11" width="17.5703125" customWidth="1"/>
  </cols>
  <sheetData>
    <row r="1" spans="1:11" ht="23.25" x14ac:dyDescent="0.35">
      <c r="A1" s="148" t="s">
        <v>102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x14ac:dyDescent="0.25">
      <c r="A2" s="75"/>
      <c r="B2" s="75"/>
    </row>
    <row r="3" spans="1:11" x14ac:dyDescent="0.25">
      <c r="A3" s="149"/>
      <c r="B3" s="75"/>
      <c r="C3" s="73"/>
      <c r="D3" s="73"/>
    </row>
    <row r="4" spans="1:11" x14ac:dyDescent="0.25">
      <c r="A4" s="149"/>
      <c r="B4" s="75"/>
      <c r="C4" s="73"/>
      <c r="D4" s="73"/>
    </row>
    <row r="5" spans="1:11" x14ac:dyDescent="0.25">
      <c r="A5" s="149"/>
      <c r="B5" s="75"/>
      <c r="C5" s="73"/>
      <c r="D5" s="73"/>
    </row>
    <row r="6" spans="1:11" x14ac:dyDescent="0.25">
      <c r="A6" s="75"/>
      <c r="B6" s="75"/>
    </row>
    <row r="7" spans="1:11" x14ac:dyDescent="0.25">
      <c r="A7" s="75"/>
      <c r="B7" s="75"/>
    </row>
    <row r="8" spans="1:11" ht="15.75" x14ac:dyDescent="0.25">
      <c r="A8" s="35" t="s">
        <v>97</v>
      </c>
      <c r="B8" s="68">
        <f>GETPIVOTDATA("TOTAL A PAGAR",'Tablas dinámicas'!$A$1)</f>
        <v>9253155.7395000011</v>
      </c>
      <c r="E8" s="33" t="s">
        <v>101</v>
      </c>
      <c r="F8" s="33" t="s">
        <v>98</v>
      </c>
      <c r="G8" s="33" t="s">
        <v>99</v>
      </c>
      <c r="H8" s="34"/>
      <c r="I8" s="33" t="s">
        <v>100</v>
      </c>
      <c r="J8" s="33" t="s">
        <v>98</v>
      </c>
      <c r="K8" s="33" t="s">
        <v>99</v>
      </c>
    </row>
    <row r="9" spans="1:11" x14ac:dyDescent="0.25">
      <c r="A9" s="71"/>
      <c r="B9" s="74"/>
      <c r="C9" s="74"/>
      <c r="D9" s="74"/>
      <c r="E9" s="51" t="str">
        <f>'Tablas dinámicas'!D2</f>
        <v>COLEGIO MAYOR DE ANTIOQUIA</v>
      </c>
      <c r="F9" s="69">
        <f>GETPIVOTDATA("TOTAL A PAGAR",'Tablas dinámicas'!$D$1,"CLIENTE",E9)</f>
        <v>1380510.075</v>
      </c>
      <c r="G9" s="70" t="str">
        <f>REPT("|",F9/MAX($F$9:$F$13)*100)</f>
        <v>||||||||||||||||||||||||||||||||||||||||||||||||||||||||||||||||||||||||||||||||||||||||||||||||||||</v>
      </c>
      <c r="I9" s="51" t="str">
        <f>'Tablas dinámicas'!H2</f>
        <v xml:space="preserve">CAJA DE RESMAS TAMAÑO OFICIO </v>
      </c>
      <c r="J9" s="69">
        <f>GETPIVOTDATA("TOTAL A PAGAR",'Tablas dinámicas'!$H$1,"PRODUCTO",I9)</f>
        <v>2761020.15</v>
      </c>
      <c r="K9" s="70" t="str">
        <f>REPT("|",F9/MAX($F$9:$F$13)*100)</f>
        <v>||||||||||||||||||||||||||||||||||||||||||||||||||||||||||||||||||||||||||||||||||||||||||||||||||||</v>
      </c>
    </row>
    <row r="10" spans="1:11" x14ac:dyDescent="0.25">
      <c r="A10" s="71"/>
      <c r="B10" s="74"/>
      <c r="C10" s="74"/>
      <c r="D10" s="74"/>
      <c r="E10" s="51" t="str">
        <f>'Tablas dinámicas'!D3</f>
        <v>ESCUELA COLOMBIANA DE  INGENIERIA</v>
      </c>
      <c r="F10" s="69">
        <f>GETPIVOTDATA("TOTAL A PAGAR",'Tablas dinámicas'!$D$1,"CLIENTE",E10)</f>
        <v>1380510.075</v>
      </c>
      <c r="G10" s="70" t="str">
        <f>REPT("|",F10/MAX($F$9:$F$13)*100)</f>
        <v>||||||||||||||||||||||||||||||||||||||||||||||||||||||||||||||||||||||||||||||||||||||||||||||||||||</v>
      </c>
      <c r="I10" s="51" t="str">
        <f>'Tablas dinámicas'!H3</f>
        <v xml:space="preserve">MORRAL </v>
      </c>
      <c r="J10" s="69">
        <f>GETPIVOTDATA("TOTAL A PAGAR",'Tablas dinámicas'!$H$1,"PRODUCTO",I10)</f>
        <v>2036176.8</v>
      </c>
      <c r="K10" s="70" t="str">
        <f>REPT("|",F10/MAX($F$9:$F$13)*100)</f>
        <v>||||||||||||||||||||||||||||||||||||||||||||||||||||||||||||||||||||||||||||||||||||||||||||||||||||</v>
      </c>
    </row>
    <row r="11" spans="1:11" x14ac:dyDescent="0.25">
      <c r="A11" s="71"/>
      <c r="B11" s="74"/>
      <c r="C11" s="74"/>
      <c r="D11" s="74"/>
      <c r="E11" s="51" t="str">
        <f>'Tablas dinámicas'!D4</f>
        <v>UNIVERSIDAD EAFIT</v>
      </c>
      <c r="F11" s="69">
        <f>GETPIVOTDATA("TOTAL A PAGAR",'Tablas dinámicas'!$D$1,"CLIENTE",E11)</f>
        <v>1058148</v>
      </c>
      <c r="G11" s="70" t="str">
        <f>REPT("|",F11/MAX($F$9:$F$13)*100)</f>
        <v>||||||||||||||||||||||||||||||||||||||||||||||||||||||||||||||||||||||||||||</v>
      </c>
      <c r="I11" s="51" t="str">
        <f>'Tablas dinámicas'!H4</f>
        <v>CAJA DE COLORES NORMA</v>
      </c>
      <c r="J11" s="69">
        <f>GETPIVOTDATA("TOTAL A PAGAR",'Tablas dinámicas'!$H$1,"PRODUCTO",I11)</f>
        <v>869351.17500000005</v>
      </c>
      <c r="K11" s="70" t="str">
        <f>REPT("|",F11/MAX($F$9:$F$13)*100)</f>
        <v>||||||||||||||||||||||||||||||||||||||||||||||||||||||||||||||||||||||||||||</v>
      </c>
    </row>
    <row r="12" spans="1:11" x14ac:dyDescent="0.25">
      <c r="A12" s="71"/>
      <c r="B12" s="74"/>
      <c r="C12" s="74"/>
      <c r="D12" s="74"/>
      <c r="E12" s="51" t="str">
        <f>'Tablas dinámicas'!D5</f>
        <v xml:space="preserve">UNIVERSIDAD CENTRAL </v>
      </c>
      <c r="F12" s="69">
        <f>GETPIVOTDATA("TOTAL A PAGAR",'Tablas dinámicas'!$D$1,"CLIENTE",E12)</f>
        <v>709144.8</v>
      </c>
      <c r="G12" s="70" t="str">
        <f>REPT("|",F12/MAX($F$9:$F$13)*100)</f>
        <v>|||||||||||||||||||||||||||||||||||||||||||||||||||</v>
      </c>
      <c r="I12" s="51" t="str">
        <f>'Tablas dinámicas'!H5</f>
        <v xml:space="preserve">CAJA DE RESMAS TAMAÑO CARTA X 15 </v>
      </c>
      <c r="J12" s="69">
        <f>GETPIVOTDATA("TOTAL A PAGAR",'Tablas dinámicas'!$H$1,"PRODUCTO",I12)</f>
        <v>592802.30799999996</v>
      </c>
      <c r="K12" s="70" t="str">
        <f>REPT("|",F12/MAX($F$9:$F$13)*100)</f>
        <v>|||||||||||||||||||||||||||||||||||||||||||||||||||</v>
      </c>
    </row>
    <row r="13" spans="1:11" x14ac:dyDescent="0.25">
      <c r="A13" s="71"/>
      <c r="B13" s="74"/>
      <c r="C13" s="74"/>
      <c r="D13" s="74"/>
      <c r="E13" s="51" t="str">
        <f>'Tablas dinámicas'!D6</f>
        <v xml:space="preserve">CORPORACION CENTRO TÉCNICO ARQUITETÓNICO </v>
      </c>
      <c r="F13" s="69">
        <f>GETPIVOTDATA("TOTAL A PAGAR",'Tablas dinámicas'!$D$1,"CLIENTE",E13)</f>
        <v>592802.30799999996</v>
      </c>
      <c r="G13" s="70" t="str">
        <f>REPT("|",F13/MAX($F$9:$F$13)*100)</f>
        <v>||||||||||||||||||||||||||||||||||||||||||</v>
      </c>
      <c r="I13" s="51" t="str">
        <f>'Tablas dinámicas'!H6</f>
        <v>CARPETAS PARA ARCHIVO TAMAÑO OFICIO</v>
      </c>
      <c r="J13" s="69">
        <f>GETPIVOTDATA("TOTAL A PAGAR",'Tablas dinámicas'!$H$1,"PRODUCTO",I13)</f>
        <v>584285.625</v>
      </c>
      <c r="K13" s="70" t="str">
        <f>REPT("|",F13/MAX($F$9:$F$13)*100)</f>
        <v>||||||||||||||||||||||||||||||||||||||||||</v>
      </c>
    </row>
    <row r="14" spans="1:11" x14ac:dyDescent="0.25">
      <c r="A14" s="71"/>
      <c r="B14" s="74"/>
      <c r="C14" s="74"/>
      <c r="D14" s="74"/>
    </row>
    <row r="15" spans="1:11" x14ac:dyDescent="0.25">
      <c r="A15" s="71"/>
      <c r="B15" s="74"/>
      <c r="C15" s="74"/>
      <c r="D15" s="74"/>
      <c r="E15" s="32"/>
      <c r="F15" s="32"/>
      <c r="G15" s="32"/>
      <c r="H15" s="32"/>
      <c r="I15" s="32"/>
    </row>
    <row r="16" spans="1:11" x14ac:dyDescent="0.25">
      <c r="A16" s="71"/>
      <c r="B16" s="74"/>
      <c r="C16" s="74"/>
      <c r="D16" s="74"/>
      <c r="E16" s="32"/>
      <c r="F16" s="32"/>
      <c r="G16" s="32"/>
      <c r="H16" s="32"/>
      <c r="I16" s="32"/>
    </row>
    <row r="17" spans="1:9" x14ac:dyDescent="0.25">
      <c r="A17" s="71"/>
      <c r="B17" s="74"/>
      <c r="C17" s="74"/>
      <c r="D17" s="74"/>
      <c r="E17" s="32"/>
      <c r="F17" s="32"/>
      <c r="G17" s="32"/>
      <c r="H17" s="32"/>
      <c r="I17" s="32"/>
    </row>
    <row r="18" spans="1:9" x14ac:dyDescent="0.25">
      <c r="A18" s="71"/>
      <c r="B18" s="74"/>
      <c r="C18" s="74"/>
      <c r="D18" s="74"/>
      <c r="E18" s="32"/>
      <c r="F18" s="32"/>
      <c r="G18" s="32"/>
      <c r="H18" s="32"/>
      <c r="I18" s="32"/>
    </row>
    <row r="19" spans="1:9" x14ac:dyDescent="0.25">
      <c r="A19" s="71"/>
      <c r="B19" s="74"/>
      <c r="C19" s="74"/>
      <c r="D19" s="74"/>
      <c r="E19" s="32"/>
      <c r="F19" s="32"/>
      <c r="G19" s="32"/>
      <c r="H19" s="32"/>
      <c r="I19" s="32"/>
    </row>
    <row r="20" spans="1:9" x14ac:dyDescent="0.25">
      <c r="A20" s="71"/>
      <c r="B20" s="74"/>
      <c r="C20" s="74"/>
      <c r="D20" s="74"/>
      <c r="E20" s="32"/>
      <c r="F20" s="32"/>
      <c r="G20" s="32"/>
      <c r="H20" s="32"/>
      <c r="I20" s="32"/>
    </row>
    <row r="21" spans="1:9" x14ac:dyDescent="0.25">
      <c r="A21" s="71"/>
      <c r="B21" s="74"/>
      <c r="C21" s="74"/>
      <c r="D21" s="74"/>
      <c r="E21" s="32"/>
      <c r="F21" s="32"/>
      <c r="G21" s="32"/>
      <c r="H21" s="32"/>
      <c r="I21" s="32"/>
    </row>
    <row r="22" spans="1:9" x14ac:dyDescent="0.25">
      <c r="A22" s="71"/>
      <c r="B22" s="74"/>
      <c r="C22" s="74"/>
      <c r="D22" s="74"/>
      <c r="E22" s="32"/>
      <c r="F22" s="32"/>
      <c r="G22" s="32"/>
      <c r="H22" s="32"/>
      <c r="I22" s="32"/>
    </row>
    <row r="23" spans="1:9" x14ac:dyDescent="0.25">
      <c r="A23" s="71"/>
      <c r="B23" s="74"/>
      <c r="C23" s="74"/>
      <c r="D23" s="74"/>
      <c r="E23" s="32"/>
      <c r="F23" s="32"/>
      <c r="G23" s="32"/>
      <c r="H23" s="32"/>
      <c r="I23" s="32"/>
    </row>
    <row r="24" spans="1:9" x14ac:dyDescent="0.25">
      <c r="A24" s="71"/>
      <c r="B24" s="74"/>
      <c r="C24" s="74"/>
      <c r="D24" s="74"/>
      <c r="E24" s="32"/>
      <c r="F24" s="32"/>
      <c r="G24" s="32"/>
      <c r="H24" s="32"/>
      <c r="I24" s="32"/>
    </row>
    <row r="25" spans="1:9" x14ac:dyDescent="0.25">
      <c r="A25" s="71"/>
      <c r="B25" s="74"/>
      <c r="C25" s="74"/>
      <c r="D25" s="74"/>
      <c r="E25" s="32"/>
      <c r="F25" s="32"/>
      <c r="G25" s="32"/>
      <c r="H25" s="32"/>
      <c r="I25" s="32"/>
    </row>
    <row r="26" spans="1:9" x14ac:dyDescent="0.25">
      <c r="A26" s="71"/>
      <c r="B26" s="74"/>
      <c r="C26" s="74"/>
      <c r="D26" s="74"/>
      <c r="E26" s="32"/>
      <c r="F26" s="32"/>
      <c r="G26" s="32"/>
      <c r="H26" s="32"/>
      <c r="I26" s="32"/>
    </row>
    <row r="27" spans="1:9" x14ac:dyDescent="0.25">
      <c r="A27" s="71"/>
      <c r="B27" s="74"/>
      <c r="C27" s="74"/>
      <c r="D27" s="74"/>
      <c r="E27" s="32"/>
      <c r="F27" s="32"/>
      <c r="G27" s="32"/>
      <c r="H27" s="32"/>
      <c r="I27" s="32"/>
    </row>
    <row r="28" spans="1:9" x14ac:dyDescent="0.25">
      <c r="A28" s="71"/>
      <c r="B28" s="74"/>
      <c r="C28" s="74"/>
      <c r="D28" s="74"/>
      <c r="E28" s="32"/>
      <c r="F28" s="32"/>
      <c r="G28" s="32"/>
      <c r="H28" s="32"/>
      <c r="I28" s="32"/>
    </row>
    <row r="29" spans="1:9" x14ac:dyDescent="0.25">
      <c r="A29" s="71"/>
      <c r="B29" s="74"/>
      <c r="C29" s="74"/>
      <c r="D29" s="74"/>
      <c r="E29" s="32"/>
      <c r="F29" s="32"/>
      <c r="G29" s="32"/>
      <c r="H29" s="32"/>
      <c r="I29" s="32"/>
    </row>
    <row r="30" spans="1:9" x14ac:dyDescent="0.25">
      <c r="A30" s="71"/>
      <c r="B30" s="74"/>
      <c r="C30" s="74"/>
      <c r="D30" s="74"/>
      <c r="E30" s="32"/>
      <c r="F30" s="32"/>
      <c r="G30" s="32"/>
      <c r="H30" s="32"/>
      <c r="I30" s="32"/>
    </row>
  </sheetData>
  <mergeCells count="2">
    <mergeCell ref="A1:K1"/>
    <mergeCell ref="A3:A5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85546875" customWidth="1"/>
    <col min="7" max="7" width="19.28515625" customWidth="1"/>
  </cols>
  <sheetData>
    <row r="1" spans="1:7" x14ac:dyDescent="0.25">
      <c r="A1" s="150" t="s">
        <v>183</v>
      </c>
      <c r="B1" s="150"/>
      <c r="C1" s="150"/>
      <c r="D1" s="150"/>
      <c r="E1" s="150"/>
      <c r="F1" s="150"/>
      <c r="G1" s="150"/>
    </row>
    <row r="2" spans="1:7" x14ac:dyDescent="0.25">
      <c r="A2" s="150"/>
      <c r="B2" s="150"/>
      <c r="C2" s="150"/>
      <c r="D2" s="150"/>
      <c r="E2" s="150"/>
      <c r="F2" s="150"/>
      <c r="G2" s="150"/>
    </row>
    <row r="3" spans="1:7" x14ac:dyDescent="0.25">
      <c r="A3" s="150"/>
      <c r="B3" s="150"/>
      <c r="C3" s="150"/>
      <c r="D3" s="150"/>
      <c r="E3" s="150"/>
      <c r="F3" s="150"/>
      <c r="G3" s="150"/>
    </row>
    <row r="4" spans="1:7" x14ac:dyDescent="0.25">
      <c r="A4" s="150"/>
      <c r="B4" s="150"/>
      <c r="C4" s="150"/>
      <c r="D4" s="150"/>
      <c r="E4" s="150"/>
      <c r="F4" s="150"/>
      <c r="G4" s="150"/>
    </row>
    <row r="5" spans="1:7" x14ac:dyDescent="0.25">
      <c r="A5" s="150"/>
      <c r="B5" s="150"/>
      <c r="C5" s="150"/>
      <c r="D5" s="150"/>
      <c r="E5" s="150"/>
      <c r="F5" s="150"/>
      <c r="G5" s="150"/>
    </row>
    <row r="6" spans="1:7" x14ac:dyDescent="0.25">
      <c r="A6" s="150"/>
      <c r="B6" s="150"/>
      <c r="C6" s="150"/>
      <c r="D6" s="150"/>
      <c r="E6" s="150"/>
      <c r="F6" s="150"/>
      <c r="G6" s="150"/>
    </row>
    <row r="7" spans="1:7" x14ac:dyDescent="0.25">
      <c r="F7" s="151" t="s">
        <v>184</v>
      </c>
    </row>
    <row r="23" spans="1:7" x14ac:dyDescent="0.25">
      <c r="A23" s="152" t="b">
        <v>1</v>
      </c>
      <c r="G23" s="152" t="b">
        <v>0</v>
      </c>
    </row>
    <row r="24" spans="1:7" x14ac:dyDescent="0.25">
      <c r="A24" s="153" t="s">
        <v>185</v>
      </c>
      <c r="B24" s="153"/>
      <c r="C24" s="153"/>
      <c r="D24" s="153"/>
      <c r="E24" s="153"/>
      <c r="F24" s="153"/>
      <c r="G24" s="153" t="s">
        <v>186</v>
      </c>
    </row>
  </sheetData>
  <mergeCells count="1">
    <mergeCell ref="A1:G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4.5703125" customWidth="1"/>
  </cols>
  <sheetData>
    <row r="1" spans="1:7" x14ac:dyDescent="0.25">
      <c r="A1" s="150" t="s">
        <v>187</v>
      </c>
      <c r="B1" s="150"/>
      <c r="C1" s="150"/>
      <c r="D1" s="150"/>
      <c r="E1" s="150"/>
      <c r="F1" s="150"/>
      <c r="G1" s="150"/>
    </row>
    <row r="2" spans="1:7" x14ac:dyDescent="0.25">
      <c r="A2" s="150"/>
      <c r="B2" s="150"/>
      <c r="C2" s="150"/>
      <c r="D2" s="150"/>
      <c r="E2" s="150"/>
      <c r="F2" s="150"/>
      <c r="G2" s="150"/>
    </row>
    <row r="3" spans="1:7" x14ac:dyDescent="0.25">
      <c r="A3" s="150"/>
      <c r="B3" s="150"/>
      <c r="C3" s="150"/>
      <c r="D3" s="150"/>
      <c r="E3" s="150"/>
      <c r="F3" s="150"/>
      <c r="G3" s="150"/>
    </row>
    <row r="4" spans="1:7" x14ac:dyDescent="0.25">
      <c r="A4" s="150"/>
      <c r="B4" s="150"/>
      <c r="C4" s="150"/>
      <c r="D4" s="150"/>
      <c r="E4" s="150"/>
      <c r="F4" s="150"/>
      <c r="G4" s="150"/>
    </row>
    <row r="5" spans="1:7" x14ac:dyDescent="0.25">
      <c r="A5" s="150"/>
      <c r="B5" s="150"/>
      <c r="C5" s="150"/>
      <c r="D5" s="150"/>
      <c r="E5" s="150"/>
      <c r="F5" s="150"/>
      <c r="G5" s="150"/>
    </row>
    <row r="6" spans="1:7" x14ac:dyDescent="0.25">
      <c r="A6" s="150"/>
      <c r="B6" s="150"/>
      <c r="C6" s="150"/>
      <c r="D6" s="150"/>
      <c r="E6" s="150"/>
      <c r="F6" s="150"/>
      <c r="G6" s="150"/>
    </row>
    <row r="7" spans="1:7" x14ac:dyDescent="0.25">
      <c r="F7" s="151" t="s">
        <v>184</v>
      </c>
    </row>
    <row r="23" spans="1:7" x14ac:dyDescent="0.25">
      <c r="A23" s="152" t="b">
        <v>1</v>
      </c>
      <c r="G23" s="152" t="b">
        <v>0</v>
      </c>
    </row>
    <row r="24" spans="1:7" x14ac:dyDescent="0.25">
      <c r="A24" s="154">
        <v>3.5000000000000003E-2</v>
      </c>
      <c r="B24" s="153"/>
      <c r="C24" s="153"/>
      <c r="D24" s="153"/>
      <c r="E24" s="153"/>
      <c r="F24" s="153"/>
      <c r="G24" s="155">
        <v>0</v>
      </c>
    </row>
  </sheetData>
  <mergeCells count="1">
    <mergeCell ref="A1:G6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H12" sqref="H12"/>
    </sheetView>
  </sheetViews>
  <sheetFormatPr baseColWidth="10" defaultRowHeight="15" x14ac:dyDescent="0.25"/>
  <cols>
    <col min="1" max="1" width="14" customWidth="1"/>
    <col min="7" max="7" width="14.5703125" customWidth="1"/>
  </cols>
  <sheetData>
    <row r="1" spans="1:7" x14ac:dyDescent="0.25">
      <c r="A1" s="150" t="s">
        <v>188</v>
      </c>
      <c r="B1" s="150"/>
      <c r="C1" s="150"/>
      <c r="D1" s="150"/>
      <c r="E1" s="150"/>
      <c r="F1" s="150"/>
      <c r="G1" s="150"/>
    </row>
    <row r="2" spans="1:7" x14ac:dyDescent="0.25">
      <c r="A2" s="150"/>
      <c r="B2" s="150"/>
      <c r="C2" s="150"/>
      <c r="D2" s="150"/>
      <c r="E2" s="150"/>
      <c r="F2" s="150"/>
      <c r="G2" s="150"/>
    </row>
    <row r="3" spans="1:7" x14ac:dyDescent="0.25">
      <c r="A3" s="150"/>
      <c r="B3" s="150"/>
      <c r="C3" s="150"/>
      <c r="D3" s="150"/>
      <c r="E3" s="150"/>
      <c r="F3" s="150"/>
      <c r="G3" s="150"/>
    </row>
    <row r="4" spans="1:7" x14ac:dyDescent="0.25">
      <c r="A4" s="150"/>
      <c r="B4" s="150"/>
      <c r="C4" s="150"/>
      <c r="D4" s="150"/>
      <c r="E4" s="150"/>
      <c r="F4" s="150"/>
      <c r="G4" s="150"/>
    </row>
    <row r="5" spans="1:7" x14ac:dyDescent="0.25">
      <c r="A5" s="150"/>
      <c r="B5" s="150"/>
      <c r="C5" s="150"/>
      <c r="D5" s="150"/>
      <c r="E5" s="150"/>
      <c r="F5" s="150"/>
      <c r="G5" s="150"/>
    </row>
    <row r="6" spans="1:7" x14ac:dyDescent="0.25">
      <c r="A6" s="150"/>
      <c r="B6" s="150"/>
      <c r="C6" s="150"/>
      <c r="D6" s="150"/>
      <c r="E6" s="150"/>
      <c r="F6" s="150"/>
      <c r="G6" s="150"/>
    </row>
    <row r="7" spans="1:7" x14ac:dyDescent="0.25">
      <c r="F7" s="156" t="s">
        <v>191</v>
      </c>
    </row>
    <row r="23" spans="1:7" x14ac:dyDescent="0.25">
      <c r="A23" s="152" t="b">
        <v>1</v>
      </c>
      <c r="G23" s="152" t="b">
        <v>0</v>
      </c>
    </row>
    <row r="24" spans="1:7" x14ac:dyDescent="0.25">
      <c r="A24" s="154" t="s">
        <v>189</v>
      </c>
      <c r="B24" s="153"/>
      <c r="C24" s="153"/>
      <c r="D24" s="153"/>
      <c r="E24" s="153"/>
      <c r="F24" s="153"/>
      <c r="G24" s="155" t="s">
        <v>190</v>
      </c>
    </row>
  </sheetData>
  <mergeCells count="1">
    <mergeCell ref="A1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C1" workbookViewId="0">
      <selection activeCell="H8" sqref="H8"/>
    </sheetView>
  </sheetViews>
  <sheetFormatPr baseColWidth="10" defaultRowHeight="15" x14ac:dyDescent="0.25"/>
  <cols>
    <col min="2" max="2" width="27.140625" customWidth="1"/>
    <col min="3" max="5" width="30.42578125" customWidth="1"/>
    <col min="6" max="8" width="23.7109375" customWidth="1"/>
    <col min="9" max="9" width="30.5703125" customWidth="1"/>
    <col min="10" max="17" width="23.7109375" customWidth="1"/>
    <col min="18" max="18" width="24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"/>
      <c r="R2" s="9"/>
    </row>
    <row r="3" spans="1:18" ht="9.7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3.75" customHeight="1" x14ac:dyDescent="0.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10"/>
      <c r="R4" s="10"/>
    </row>
    <row r="5" spans="1:18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2" t="s">
        <v>2</v>
      </c>
      <c r="B6" s="2" t="s">
        <v>88</v>
      </c>
      <c r="C6" s="2" t="s">
        <v>3</v>
      </c>
      <c r="D6" s="2" t="s">
        <v>90</v>
      </c>
      <c r="E6" s="2" t="s">
        <v>89</v>
      </c>
      <c r="F6" s="2" t="s">
        <v>22</v>
      </c>
      <c r="G6" s="2" t="s">
        <v>4</v>
      </c>
      <c r="H6" s="2" t="s">
        <v>5</v>
      </c>
      <c r="I6" s="2" t="s">
        <v>162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2" t="s">
        <v>11</v>
      </c>
      <c r="P6" s="2" t="s">
        <v>12</v>
      </c>
      <c r="Q6" s="2" t="s">
        <v>91</v>
      </c>
      <c r="R6" s="2" t="s">
        <v>71</v>
      </c>
    </row>
    <row r="7" spans="1:18" ht="39" customHeight="1" x14ac:dyDescent="0.25">
      <c r="A7" s="81">
        <v>701</v>
      </c>
      <c r="B7" s="3" t="str">
        <f t="shared" ref="B7:B36" si="0">IF(ISBLANK(A7),"",IF(ISERROR(VLOOKUP(A7,bdpapeleria,2,FALSE)),"El dato no existe",VLOOKUP(A7,bdpapeleria,2,FALSE)))</f>
        <v>890980134-1</v>
      </c>
      <c r="C7" s="39" t="str">
        <f>IF(ISBLANK(A7),"",IF(ISERROR(VLOOKUP(A7,bdpapeleria,3,FALSE)),"El dato no existe",VLOOKUP(A7,bdpapeleria,3,FALSE)))</f>
        <v>COLEGIO MAYOR DE ANTIOQUIA</v>
      </c>
      <c r="D7" s="40">
        <f t="shared" ref="D7:D36" si="1">IF(ISBLANK(A7),"",IF(ISERROR(VLOOKUP(A7,bdpapeleria,4,FALSE)),"El dato no existe",VLOOKUP(A7,bdpapeleria,4,FALSE)))</f>
        <v>4445611</v>
      </c>
      <c r="E7" s="3" t="str">
        <f t="shared" ref="E7:E36" si="2">IF(ISBLANK(A7),"",IF(ISERROR(VLOOKUP(A7,bdpapeleria,5,FALSE)),"El dato no existe",VLOOKUP(A7,bdpapeleria,5,FALSE)))</f>
        <v>Carrera 78 N° 65-46</v>
      </c>
      <c r="F7" s="3" t="str">
        <f t="shared" ref="F7:F36" si="3">IF(ISBLANK(A7),"",IF(ISERROR(VLOOKUP(A7,bdpapeleria,6,FALSE)),"El dato no existe",VLOOKUP(A7,bdpapeleria,6,FALSE)))</f>
        <v>Antioquia</v>
      </c>
      <c r="G7" s="39" t="str">
        <f t="shared" ref="G7:G36" si="4">IF(ISBLANK(A7),"",IF(ISERROR(VLOOKUP(A7,bdpapeleria,7,FALSE)),"El dato no existe",VLOOKUP(A7,bdpapeleria,7,FALSE)))</f>
        <v xml:space="preserve">CAJA DE RESMAS TAMAÑO OFICIO </v>
      </c>
      <c r="H7" s="81">
        <f>IF(ISBLANK(A7),"",IF(ISERROR(VLOOKUP(A7,bdpapeleria,8,FALSE)),"El dato no existe",VLOOKUP(A7,bdpapeleria,8,FALSE)))</f>
        <v>35</v>
      </c>
      <c r="I7" s="3">
        <f t="shared" ref="I7:I44" si="5">IF(ISBLANK(A7),"",IF(ISERROR(VLOOKUP(A7,bdpapeleria,9,FALSE)),"El dato no existe",VLOOKUP(A7,bdpapeleria,9,FALSE)))</f>
        <v>8</v>
      </c>
      <c r="J7" s="3">
        <f t="shared" ref="J7:J36" si="6">IF(ISBLANK(A7),"",IF(ISERROR(VLOOKUP(A7,bdpapeleria,10,FALSE)),"El dato no existe",VLOOKUP(A7,bdpapeleria,10,FALSE)))</f>
        <v>34890</v>
      </c>
      <c r="K7" s="6">
        <f>J7*H7</f>
        <v>1221150</v>
      </c>
      <c r="L7" s="6">
        <f t="shared" ref="L7:L36" si="7">IF(AND(H7&gt;=10,H7&lt;=20),K7*$F$48,IF(AND(H7&gt;=21,H7&lt;=30),K7*$G$48,K7*$H$48))</f>
        <v>61057.5</v>
      </c>
      <c r="M7" s="46">
        <f>K7-L7</f>
        <v>1160092.5</v>
      </c>
      <c r="N7" s="47">
        <f t="shared" ref="N7:N36" si="8">IF(M7&gt;=90000,M7*$F$49,M7*0%)</f>
        <v>220417.57500000001</v>
      </c>
      <c r="O7" s="6">
        <f t="shared" ref="O7:O36" si="9">IF(M7&lt;=400000,M7*$F$50,M7*0%)</f>
        <v>0</v>
      </c>
      <c r="P7" s="42">
        <f>M7+N7-O7</f>
        <v>1380510.075</v>
      </c>
      <c r="Q7" s="42" t="str">
        <f t="shared" ref="Q7:Q44" si="10">IF(ISBLANK(A7),"",IF(ISERROR(VLOOKUP(A7,bdpapeleria,11,FALSE)),"El dato no existe",VLOOKUP(A7,bdpapeleria,11,FALSE)))</f>
        <v>CONTADO</v>
      </c>
      <c r="R7" s="42" t="str">
        <f>IF(I7&gt;=15,"Mala Demanda","Buena Demanda")</f>
        <v>Buena Demanda</v>
      </c>
    </row>
    <row r="8" spans="1:18" ht="40.5" customHeight="1" x14ac:dyDescent="0.25">
      <c r="A8" s="81">
        <v>702</v>
      </c>
      <c r="B8" s="3" t="str">
        <f t="shared" si="0"/>
        <v>890480054-5</v>
      </c>
      <c r="C8" s="39" t="str">
        <f t="shared" ref="C8:C36" si="11">IF(ISBLANK(A8),"",IF(ISERROR(VLOOKUP(A8,bdpapeleria,3,FALSE)),"El dato no existe",VLOOKUP(A8,bdpapeleria,3,FALSE)))</f>
        <v xml:space="preserve">CORPORACION CENTRO TÉCNICO ARQUITETÓNICO </v>
      </c>
      <c r="D8" s="4">
        <f t="shared" si="1"/>
        <v>3293333</v>
      </c>
      <c r="E8" s="4" t="str">
        <f t="shared" si="2"/>
        <v>Avda 30 de Agosto N° 52-236</v>
      </c>
      <c r="F8" s="3" t="str">
        <f t="shared" si="3"/>
        <v>Risaralda</v>
      </c>
      <c r="G8" s="39" t="str">
        <f t="shared" si="4"/>
        <v xml:space="preserve">CAJA DE RESMAS TAMAÑO CARTA X 15 </v>
      </c>
      <c r="H8" s="81">
        <f t="shared" ref="H8:H36" si="12">IF(ISBLANK(A8),"",IF(ISERROR(VLOOKUP(A8,bdpapeleria,8,FALSE)),"El dato no existe",VLOOKUP(A8,bdpapeleria,8,FALSE)))</f>
        <v>20</v>
      </c>
      <c r="I8" s="3">
        <f t="shared" si="5"/>
        <v>15</v>
      </c>
      <c r="J8" s="3">
        <f t="shared" si="6"/>
        <v>25678</v>
      </c>
      <c r="K8" s="6">
        <f t="shared" ref="K8:K36" si="13">J8*H8</f>
        <v>513560</v>
      </c>
      <c r="L8" s="6">
        <f t="shared" si="7"/>
        <v>15406.8</v>
      </c>
      <c r="M8" s="46">
        <f>K8-L8</f>
        <v>498153.2</v>
      </c>
      <c r="N8" s="47">
        <f t="shared" si="8"/>
        <v>94649.108000000007</v>
      </c>
      <c r="O8" s="6">
        <f t="shared" si="9"/>
        <v>0</v>
      </c>
      <c r="P8" s="42">
        <f t="shared" ref="P8:P36" si="14">M8+N8-O8</f>
        <v>592802.30799999996</v>
      </c>
      <c r="Q8" s="42" t="str">
        <f t="shared" si="10"/>
        <v>CONTADO</v>
      </c>
      <c r="R8" s="42" t="str">
        <f t="shared" ref="R8:R36" si="15">IF(I8&gt;=15,"Mala Demanda","Buena Demanda")</f>
        <v>Mala Demanda</v>
      </c>
    </row>
    <row r="9" spans="1:18" ht="34.5" customHeight="1" x14ac:dyDescent="0.25">
      <c r="A9" s="81">
        <v>703</v>
      </c>
      <c r="B9" s="3" t="str">
        <f t="shared" si="0"/>
        <v>891411199-3</v>
      </c>
      <c r="C9" s="39" t="str">
        <f t="shared" si="11"/>
        <v>CORPORACIÓN EDUCATIVA -ITAE-</v>
      </c>
      <c r="D9" s="4">
        <f t="shared" si="1"/>
        <v>6642484</v>
      </c>
      <c r="E9" s="4" t="str">
        <f t="shared" si="2"/>
        <v>Centro Carrera 3 Calle de la factoria N°35-95</v>
      </c>
      <c r="F9" s="3" t="str">
        <f t="shared" si="3"/>
        <v>Bolivar</v>
      </c>
      <c r="G9" s="39" t="str">
        <f t="shared" si="4"/>
        <v xml:space="preserve">TALONARIO DE CAJA MENOR </v>
      </c>
      <c r="H9" s="81">
        <f t="shared" si="12"/>
        <v>40</v>
      </c>
      <c r="I9" s="3">
        <f t="shared" si="5"/>
        <v>10</v>
      </c>
      <c r="J9" s="3">
        <f t="shared" si="6"/>
        <v>900</v>
      </c>
      <c r="K9" s="6">
        <f t="shared" si="13"/>
        <v>36000</v>
      </c>
      <c r="L9" s="6">
        <f t="shared" si="7"/>
        <v>1800</v>
      </c>
      <c r="M9" s="46">
        <f t="shared" ref="M9:M36" si="16">K9-L9</f>
        <v>34200</v>
      </c>
      <c r="N9" s="47">
        <f t="shared" si="8"/>
        <v>0</v>
      </c>
      <c r="O9" s="6">
        <f t="shared" si="9"/>
        <v>1197.0000000000002</v>
      </c>
      <c r="P9" s="42">
        <f t="shared" si="14"/>
        <v>33003</v>
      </c>
      <c r="Q9" s="42" t="str">
        <f t="shared" si="10"/>
        <v>CRÉDITO</v>
      </c>
      <c r="R9" s="42" t="str">
        <f t="shared" si="15"/>
        <v>Buena Demanda</v>
      </c>
    </row>
    <row r="10" spans="1:18" ht="34.5" customHeight="1" x14ac:dyDescent="0.25">
      <c r="A10" s="81">
        <v>704</v>
      </c>
      <c r="B10" s="3" t="str">
        <f t="shared" si="0"/>
        <v>8900704562-9</v>
      </c>
      <c r="C10" s="39" t="str">
        <f t="shared" si="11"/>
        <v>CORPORACIÓN ESCUELA DE ARTES Y LETRAS</v>
      </c>
      <c r="D10" s="4">
        <f t="shared" si="1"/>
        <v>2134421</v>
      </c>
      <c r="E10" s="4" t="str">
        <f t="shared" si="2"/>
        <v xml:space="preserve">Calle 10 N° 29-93 </v>
      </c>
      <c r="F10" s="3" t="str">
        <f t="shared" si="3"/>
        <v>Tolima</v>
      </c>
      <c r="G10" s="39" t="str">
        <f t="shared" si="4"/>
        <v>CUADERNO ARGOLLADO</v>
      </c>
      <c r="H10" s="81">
        <f t="shared" si="12"/>
        <v>22</v>
      </c>
      <c r="I10" s="3">
        <f t="shared" si="5"/>
        <v>8</v>
      </c>
      <c r="J10" s="3">
        <f t="shared" si="6"/>
        <v>10900</v>
      </c>
      <c r="K10" s="6">
        <f t="shared" si="13"/>
        <v>239800</v>
      </c>
      <c r="L10" s="6">
        <f t="shared" si="7"/>
        <v>10791</v>
      </c>
      <c r="M10" s="46">
        <f t="shared" si="16"/>
        <v>229009</v>
      </c>
      <c r="N10" s="47">
        <f t="shared" si="8"/>
        <v>43511.71</v>
      </c>
      <c r="O10" s="6">
        <f t="shared" si="9"/>
        <v>8015.3150000000005</v>
      </c>
      <c r="P10" s="42">
        <f t="shared" si="14"/>
        <v>264505.39500000002</v>
      </c>
      <c r="Q10" s="42" t="str">
        <f t="shared" si="10"/>
        <v>CRÉDITO</v>
      </c>
      <c r="R10" s="42" t="str">
        <f t="shared" si="15"/>
        <v>Buena Demanda</v>
      </c>
    </row>
    <row r="11" spans="1:18" ht="34.5" customHeight="1" x14ac:dyDescent="0.25">
      <c r="A11" s="81">
        <v>705</v>
      </c>
      <c r="B11" s="3" t="str">
        <f t="shared" si="0"/>
        <v>890203706-2</v>
      </c>
      <c r="C11" s="39" t="str">
        <f t="shared" si="11"/>
        <v>UNIVERSIDAD CATÓLICA LUIS AMIGÓ</v>
      </c>
      <c r="D11" s="4">
        <f t="shared" si="1"/>
        <v>6525202</v>
      </c>
      <c r="E11" s="4" t="str">
        <f t="shared" si="2"/>
        <v>Calle 10 N° 3-95</v>
      </c>
      <c r="F11" s="3" t="str">
        <f t="shared" si="3"/>
        <v>Antioquia</v>
      </c>
      <c r="G11" s="39" t="str">
        <f t="shared" si="4"/>
        <v>CARPETAS PARA ARCHIVO TAMAÑO OFICIO</v>
      </c>
      <c r="H11" s="81">
        <f t="shared" si="12"/>
        <v>43</v>
      </c>
      <c r="I11" s="3">
        <f t="shared" si="5"/>
        <v>30</v>
      </c>
      <c r="J11" s="3">
        <f t="shared" si="6"/>
        <v>7100</v>
      </c>
      <c r="K11" s="6">
        <f t="shared" si="13"/>
        <v>305300</v>
      </c>
      <c r="L11" s="6">
        <f t="shared" si="7"/>
        <v>15265</v>
      </c>
      <c r="M11" s="46">
        <f t="shared" si="16"/>
        <v>290035</v>
      </c>
      <c r="N11" s="47">
        <f t="shared" si="8"/>
        <v>55106.65</v>
      </c>
      <c r="O11" s="6">
        <f t="shared" si="9"/>
        <v>10151.225</v>
      </c>
      <c r="P11" s="42">
        <f t="shared" si="14"/>
        <v>334990.42500000005</v>
      </c>
      <c r="Q11" s="42" t="str">
        <f t="shared" si="10"/>
        <v>CRÉDITO</v>
      </c>
      <c r="R11" s="42" t="str">
        <f t="shared" si="15"/>
        <v>Mala Demanda</v>
      </c>
    </row>
    <row r="12" spans="1:18" ht="34.5" customHeight="1" x14ac:dyDescent="0.25">
      <c r="A12" s="81">
        <v>706</v>
      </c>
      <c r="B12" s="3" t="str">
        <f t="shared" si="0"/>
        <v>891408248-5</v>
      </c>
      <c r="C12" s="39" t="str">
        <f t="shared" si="11"/>
        <v>CORPORACIÓN JOHN F.KENNEDY</v>
      </c>
      <c r="D12" s="4">
        <f t="shared" si="1"/>
        <v>6505400</v>
      </c>
      <c r="E12" s="4" t="str">
        <f t="shared" si="2"/>
        <v>Calle 74 N° 11-92</v>
      </c>
      <c r="F12" s="3" t="str">
        <f t="shared" si="3"/>
        <v>Cundinamarca</v>
      </c>
      <c r="G12" s="39" t="str">
        <f t="shared" si="4"/>
        <v>CAJA DE COLORES NORMA</v>
      </c>
      <c r="H12" s="81">
        <f t="shared" si="12"/>
        <v>12</v>
      </c>
      <c r="I12" s="3">
        <f t="shared" si="5"/>
        <v>5</v>
      </c>
      <c r="J12" s="3">
        <f t="shared" si="6"/>
        <v>9500</v>
      </c>
      <c r="K12" s="6">
        <f t="shared" si="13"/>
        <v>114000</v>
      </c>
      <c r="L12" s="6">
        <f t="shared" si="7"/>
        <v>3420</v>
      </c>
      <c r="M12" s="46">
        <f t="shared" si="16"/>
        <v>110580</v>
      </c>
      <c r="N12" s="47">
        <f t="shared" si="8"/>
        <v>21010.2</v>
      </c>
      <c r="O12" s="6">
        <f t="shared" si="9"/>
        <v>3870.3</v>
      </c>
      <c r="P12" s="42">
        <f t="shared" si="14"/>
        <v>127719.90000000001</v>
      </c>
      <c r="Q12" s="42" t="str">
        <f t="shared" si="10"/>
        <v>CONTADO</v>
      </c>
      <c r="R12" s="42" t="str">
        <f t="shared" si="15"/>
        <v>Buena Demanda</v>
      </c>
    </row>
    <row r="13" spans="1:18" ht="34.5" customHeight="1" x14ac:dyDescent="0.25">
      <c r="A13" s="81">
        <v>707</v>
      </c>
      <c r="B13" s="3" t="str">
        <f t="shared" si="0"/>
        <v>860066098-5</v>
      </c>
      <c r="C13" s="39" t="str">
        <f t="shared" si="11"/>
        <v>CORPORACIÓN UNVIERSITARIA CENDA</v>
      </c>
      <c r="D13" s="4">
        <f t="shared" si="1"/>
        <v>3400100</v>
      </c>
      <c r="E13" s="4" t="str">
        <f t="shared" si="2"/>
        <v>Carrera 14 N° 12-42</v>
      </c>
      <c r="F13" s="3" t="str">
        <f t="shared" si="3"/>
        <v>Risaralda</v>
      </c>
      <c r="G13" s="39" t="str">
        <f t="shared" si="4"/>
        <v>VINILOS PRISMACOLOR</v>
      </c>
      <c r="H13" s="81">
        <f t="shared" si="12"/>
        <v>25</v>
      </c>
      <c r="I13" s="3">
        <f t="shared" si="5"/>
        <v>3</v>
      </c>
      <c r="J13" s="3">
        <f t="shared" si="6"/>
        <v>1000</v>
      </c>
      <c r="K13" s="6">
        <f t="shared" si="13"/>
        <v>25000</v>
      </c>
      <c r="L13" s="6">
        <f t="shared" si="7"/>
        <v>1125</v>
      </c>
      <c r="M13" s="46">
        <f t="shared" si="16"/>
        <v>23875</v>
      </c>
      <c r="N13" s="47">
        <f t="shared" si="8"/>
        <v>0</v>
      </c>
      <c r="O13" s="6">
        <f t="shared" si="9"/>
        <v>835.62500000000011</v>
      </c>
      <c r="P13" s="42">
        <f t="shared" si="14"/>
        <v>23039.375</v>
      </c>
      <c r="Q13" s="42" t="str">
        <f t="shared" si="10"/>
        <v>CONTADO</v>
      </c>
      <c r="R13" s="42" t="str">
        <f t="shared" si="15"/>
        <v>Buena Demanda</v>
      </c>
    </row>
    <row r="14" spans="1:18" ht="34.5" customHeight="1" x14ac:dyDescent="0.25">
      <c r="A14" s="81">
        <v>708</v>
      </c>
      <c r="B14" s="3" t="str">
        <f t="shared" si="0"/>
        <v>860504543-1</v>
      </c>
      <c r="C14" s="39" t="str">
        <f t="shared" si="11"/>
        <v>CORPORACIÓN UNIVERSITARIA MARÍA</v>
      </c>
      <c r="D14" s="4">
        <f t="shared" si="1"/>
        <v>5446573</v>
      </c>
      <c r="E14" s="4" t="str">
        <f t="shared" si="2"/>
        <v>Carrera 23 N° 63-36</v>
      </c>
      <c r="F14" s="3" t="str">
        <f t="shared" si="3"/>
        <v>Risaralda</v>
      </c>
      <c r="G14" s="39" t="str">
        <f t="shared" si="4"/>
        <v>LIBRO CONTABLE</v>
      </c>
      <c r="H14" s="81">
        <f t="shared" si="12"/>
        <v>15</v>
      </c>
      <c r="I14" s="3">
        <f t="shared" si="5"/>
        <v>30</v>
      </c>
      <c r="J14" s="3">
        <f t="shared" si="6"/>
        <v>4500</v>
      </c>
      <c r="K14" s="6">
        <f t="shared" si="13"/>
        <v>67500</v>
      </c>
      <c r="L14" s="6">
        <f t="shared" si="7"/>
        <v>2025</v>
      </c>
      <c r="M14" s="46">
        <f t="shared" si="16"/>
        <v>65475</v>
      </c>
      <c r="N14" s="47">
        <f t="shared" si="8"/>
        <v>0</v>
      </c>
      <c r="O14" s="6">
        <f t="shared" si="9"/>
        <v>2291.625</v>
      </c>
      <c r="P14" s="42">
        <f t="shared" si="14"/>
        <v>63183.375</v>
      </c>
      <c r="Q14" s="42" t="str">
        <f t="shared" si="10"/>
        <v>CONTADO</v>
      </c>
      <c r="R14" s="42" t="str">
        <f t="shared" si="15"/>
        <v>Mala Demanda</v>
      </c>
    </row>
    <row r="15" spans="1:18" ht="34.5" customHeight="1" x14ac:dyDescent="0.25">
      <c r="A15" s="81">
        <v>709</v>
      </c>
      <c r="B15" s="3" t="str">
        <f t="shared" si="0"/>
        <v>8605008517-8</v>
      </c>
      <c r="C15" s="39" t="str">
        <f t="shared" si="11"/>
        <v>UNIVERSIDAD ECCI</v>
      </c>
      <c r="D15" s="4">
        <f t="shared" si="1"/>
        <v>3689618</v>
      </c>
      <c r="E15" s="4" t="str">
        <f t="shared" si="2"/>
        <v>Calle 41 N° 27A-56</v>
      </c>
      <c r="F15" s="3" t="str">
        <f t="shared" si="3"/>
        <v>Bolivar</v>
      </c>
      <c r="G15" s="39" t="str">
        <f t="shared" si="4"/>
        <v>CAJA DE COLORES NORMA</v>
      </c>
      <c r="H15" s="81">
        <f t="shared" si="12"/>
        <v>28</v>
      </c>
      <c r="I15" s="3">
        <f t="shared" si="5"/>
        <v>8</v>
      </c>
      <c r="J15" s="3">
        <f t="shared" si="6"/>
        <v>9500</v>
      </c>
      <c r="K15" s="6">
        <f t="shared" si="13"/>
        <v>266000</v>
      </c>
      <c r="L15" s="6">
        <f t="shared" si="7"/>
        <v>11970</v>
      </c>
      <c r="M15" s="46">
        <f t="shared" si="16"/>
        <v>254030</v>
      </c>
      <c r="N15" s="47">
        <f t="shared" si="8"/>
        <v>48265.7</v>
      </c>
      <c r="O15" s="6">
        <f t="shared" si="9"/>
        <v>8891.0500000000011</v>
      </c>
      <c r="P15" s="42">
        <f t="shared" si="14"/>
        <v>293404.65000000002</v>
      </c>
      <c r="Q15" s="42" t="str">
        <f t="shared" si="10"/>
        <v>CRÉDITO</v>
      </c>
      <c r="R15" s="42" t="str">
        <f t="shared" si="15"/>
        <v>Buena Demanda</v>
      </c>
    </row>
    <row r="16" spans="1:18" ht="34.5" customHeight="1" x14ac:dyDescent="0.25">
      <c r="A16" s="81">
        <v>710</v>
      </c>
      <c r="B16" s="3" t="str">
        <f t="shared" si="0"/>
        <v>890985856-3</v>
      </c>
      <c r="C16" s="39" t="str">
        <f t="shared" si="11"/>
        <v>ESCUELA COLOMBIANA DE  INGENIERIA</v>
      </c>
      <c r="D16" s="4">
        <f t="shared" si="1"/>
        <v>2451333</v>
      </c>
      <c r="E16" s="4" t="str">
        <f t="shared" si="2"/>
        <v>Calle 46 N° 13-43</v>
      </c>
      <c r="F16" s="3" t="str">
        <f t="shared" si="3"/>
        <v>Valle del Cauca</v>
      </c>
      <c r="G16" s="39" t="str">
        <f t="shared" si="4"/>
        <v xml:space="preserve">CAJA DE RESMAS TAMAÑO OFICIO </v>
      </c>
      <c r="H16" s="81">
        <f t="shared" si="12"/>
        <v>35</v>
      </c>
      <c r="I16" s="3">
        <f t="shared" si="5"/>
        <v>6</v>
      </c>
      <c r="J16" s="3">
        <f t="shared" si="6"/>
        <v>34890</v>
      </c>
      <c r="K16" s="6">
        <f t="shared" si="13"/>
        <v>1221150</v>
      </c>
      <c r="L16" s="6">
        <f t="shared" si="7"/>
        <v>61057.5</v>
      </c>
      <c r="M16" s="46">
        <f t="shared" si="16"/>
        <v>1160092.5</v>
      </c>
      <c r="N16" s="47">
        <f t="shared" si="8"/>
        <v>220417.57500000001</v>
      </c>
      <c r="O16" s="6">
        <f t="shared" si="9"/>
        <v>0</v>
      </c>
      <c r="P16" s="42">
        <f t="shared" si="14"/>
        <v>1380510.075</v>
      </c>
      <c r="Q16" s="42" t="str">
        <f t="shared" si="10"/>
        <v>CRÉDITO</v>
      </c>
      <c r="R16" s="42" t="str">
        <f t="shared" si="15"/>
        <v>Buena Demanda</v>
      </c>
    </row>
    <row r="17" spans="1:18" ht="34.5" customHeight="1" x14ac:dyDescent="0.25">
      <c r="A17" s="81">
        <v>711</v>
      </c>
      <c r="B17" s="3" t="str">
        <f t="shared" si="0"/>
        <v>800003863-5</v>
      </c>
      <c r="C17" s="39" t="str">
        <f t="shared" si="11"/>
        <v>ESCUELA NACIONAL DE DEPORTE</v>
      </c>
      <c r="D17" s="4">
        <f t="shared" si="1"/>
        <v>2826786</v>
      </c>
      <c r="E17" s="4" t="str">
        <f t="shared" si="2"/>
        <v>Calle 19 N° 3-16</v>
      </c>
      <c r="F17" s="3" t="str">
        <f t="shared" si="3"/>
        <v>Santander</v>
      </c>
      <c r="G17" s="39" t="str">
        <f t="shared" si="4"/>
        <v>LIBRO CONTABLE</v>
      </c>
      <c r="H17" s="81">
        <f t="shared" si="12"/>
        <v>45</v>
      </c>
      <c r="I17" s="3">
        <f t="shared" si="5"/>
        <v>30</v>
      </c>
      <c r="J17" s="3">
        <f t="shared" si="6"/>
        <v>4500</v>
      </c>
      <c r="K17" s="6">
        <f t="shared" si="13"/>
        <v>202500</v>
      </c>
      <c r="L17" s="6">
        <f t="shared" si="7"/>
        <v>10125</v>
      </c>
      <c r="M17" s="46">
        <f t="shared" si="16"/>
        <v>192375</v>
      </c>
      <c r="N17" s="47">
        <f t="shared" si="8"/>
        <v>36551.25</v>
      </c>
      <c r="O17" s="6">
        <f t="shared" si="9"/>
        <v>6733.1250000000009</v>
      </c>
      <c r="P17" s="42">
        <f t="shared" si="14"/>
        <v>222193.125</v>
      </c>
      <c r="Q17" s="42" t="str">
        <f t="shared" si="10"/>
        <v>CONTADO</v>
      </c>
      <c r="R17" s="42" t="str">
        <f t="shared" si="15"/>
        <v>Mala Demanda</v>
      </c>
    </row>
    <row r="18" spans="1:18" ht="34.5" customHeight="1" x14ac:dyDescent="0.25">
      <c r="A18" s="81">
        <v>712</v>
      </c>
      <c r="B18" s="3" t="str">
        <f t="shared" si="0"/>
        <v>860401734-9</v>
      </c>
      <c r="C18" s="39" t="str">
        <f t="shared" si="11"/>
        <v>UNIVERSIDAD NACIONAL</v>
      </c>
      <c r="D18" s="4">
        <f t="shared" si="1"/>
        <v>4500040</v>
      </c>
      <c r="E18" s="4" t="str">
        <f t="shared" si="2"/>
        <v>Calle 48 N° 50-30</v>
      </c>
      <c r="F18" s="3" t="str">
        <f t="shared" si="3"/>
        <v>Antioquia</v>
      </c>
      <c r="G18" s="39" t="str">
        <f t="shared" si="4"/>
        <v>ROLLOS PARA IMPRESORA DE CAJA X 6 U.</v>
      </c>
      <c r="H18" s="81">
        <f t="shared" si="12"/>
        <v>42</v>
      </c>
      <c r="I18" s="3">
        <f t="shared" si="5"/>
        <v>4</v>
      </c>
      <c r="J18" s="3">
        <f t="shared" si="6"/>
        <v>7654</v>
      </c>
      <c r="K18" s="6">
        <f t="shared" si="13"/>
        <v>321468</v>
      </c>
      <c r="L18" s="6">
        <f t="shared" si="7"/>
        <v>16073.400000000001</v>
      </c>
      <c r="M18" s="46">
        <f t="shared" si="16"/>
        <v>305394.59999999998</v>
      </c>
      <c r="N18" s="47">
        <f t="shared" si="8"/>
        <v>58024.973999999995</v>
      </c>
      <c r="O18" s="6">
        <f t="shared" si="9"/>
        <v>10688.811</v>
      </c>
      <c r="P18" s="42">
        <f t="shared" si="14"/>
        <v>352730.76299999998</v>
      </c>
      <c r="Q18" s="42" t="str">
        <f t="shared" si="10"/>
        <v>CONTADO</v>
      </c>
      <c r="R18" s="42" t="str">
        <f t="shared" si="15"/>
        <v>Buena Demanda</v>
      </c>
    </row>
    <row r="19" spans="1:18" ht="46.5" customHeight="1" x14ac:dyDescent="0.25">
      <c r="A19" s="81">
        <v>713</v>
      </c>
      <c r="B19" s="3" t="str">
        <f t="shared" si="0"/>
        <v>864366098-5</v>
      </c>
      <c r="C19" s="39" t="str">
        <f t="shared" si="11"/>
        <v xml:space="preserve">FUNDACIÓN UNIVERSITARIA AUTONOMA </v>
      </c>
      <c r="D19" s="4">
        <f t="shared" si="1"/>
        <v>3078180</v>
      </c>
      <c r="E19" s="4" t="str">
        <f t="shared" si="2"/>
        <v>Calle 34 N° 15-36</v>
      </c>
      <c r="F19" s="3" t="str">
        <f t="shared" si="3"/>
        <v>Risaralda</v>
      </c>
      <c r="G19" s="39" t="str">
        <f t="shared" si="4"/>
        <v>ROLLOS PARA IMPRESORA DE CAJA X 6 U.</v>
      </c>
      <c r="H19" s="81">
        <f t="shared" si="12"/>
        <v>20</v>
      </c>
      <c r="I19" s="3">
        <f t="shared" si="5"/>
        <v>4</v>
      </c>
      <c r="J19" s="3">
        <f t="shared" si="6"/>
        <v>7654</v>
      </c>
      <c r="K19" s="6">
        <f t="shared" si="13"/>
        <v>153080</v>
      </c>
      <c r="L19" s="6">
        <f t="shared" si="7"/>
        <v>4592.3999999999996</v>
      </c>
      <c r="M19" s="46">
        <f t="shared" si="16"/>
        <v>148487.6</v>
      </c>
      <c r="N19" s="47">
        <f t="shared" si="8"/>
        <v>28212.644</v>
      </c>
      <c r="O19" s="6">
        <f t="shared" si="9"/>
        <v>5197.0660000000007</v>
      </c>
      <c r="P19" s="42">
        <f t="shared" si="14"/>
        <v>171503.17800000001</v>
      </c>
      <c r="Q19" s="42" t="str">
        <f t="shared" si="10"/>
        <v>CRÉDITO</v>
      </c>
      <c r="R19" s="42" t="str">
        <f t="shared" si="15"/>
        <v>Buena Demanda</v>
      </c>
    </row>
    <row r="20" spans="1:18" ht="34.5" customHeight="1" x14ac:dyDescent="0.25">
      <c r="A20" s="81">
        <v>714</v>
      </c>
      <c r="B20" s="3" t="str">
        <f t="shared" si="0"/>
        <v>862504543-1</v>
      </c>
      <c r="C20" s="39" t="str">
        <f t="shared" si="11"/>
        <v>CORPORACION ARTES Y OFICIOS</v>
      </c>
      <c r="D20" s="4">
        <f t="shared" si="1"/>
        <v>2321617</v>
      </c>
      <c r="E20" s="4" t="str">
        <f t="shared" si="2"/>
        <v>Calle 33 N° 11-50</v>
      </c>
      <c r="F20" s="3" t="str">
        <f t="shared" si="3"/>
        <v>Nariño</v>
      </c>
      <c r="G20" s="39" t="str">
        <f t="shared" si="4"/>
        <v>BLOCK TAMAÑO CARTA</v>
      </c>
      <c r="H20" s="81">
        <f t="shared" si="12"/>
        <v>29</v>
      </c>
      <c r="I20" s="3">
        <f t="shared" si="5"/>
        <v>2</v>
      </c>
      <c r="J20" s="3">
        <f t="shared" si="6"/>
        <v>2400</v>
      </c>
      <c r="K20" s="6">
        <f t="shared" si="13"/>
        <v>69600</v>
      </c>
      <c r="L20" s="6">
        <f t="shared" si="7"/>
        <v>3132</v>
      </c>
      <c r="M20" s="46">
        <f t="shared" si="16"/>
        <v>66468</v>
      </c>
      <c r="N20" s="47">
        <f t="shared" si="8"/>
        <v>0</v>
      </c>
      <c r="O20" s="6">
        <f t="shared" si="9"/>
        <v>2326.38</v>
      </c>
      <c r="P20" s="42">
        <f t="shared" si="14"/>
        <v>64141.62</v>
      </c>
      <c r="Q20" s="42" t="str">
        <f t="shared" si="10"/>
        <v>CONTADO</v>
      </c>
      <c r="R20" s="42" t="str">
        <f t="shared" si="15"/>
        <v>Buena Demanda</v>
      </c>
    </row>
    <row r="21" spans="1:18" ht="34.5" customHeight="1" x14ac:dyDescent="0.25">
      <c r="A21" s="81">
        <v>715</v>
      </c>
      <c r="B21" s="3" t="str">
        <f t="shared" si="0"/>
        <v>8607108517-8</v>
      </c>
      <c r="C21" s="39" t="str">
        <f t="shared" si="11"/>
        <v>CASA DE LA CULTURA PEDRITO RUIZ</v>
      </c>
      <c r="D21" s="4">
        <f t="shared" si="1"/>
        <v>3232964</v>
      </c>
      <c r="E21" s="4" t="str">
        <f t="shared" si="2"/>
        <v>Carrera 9 N° 45 A-44</v>
      </c>
      <c r="F21" s="3" t="str">
        <f t="shared" si="3"/>
        <v>Valle del Cauca</v>
      </c>
      <c r="G21" s="39" t="str">
        <f t="shared" si="4"/>
        <v>GRAPADORA MEDIANA</v>
      </c>
      <c r="H21" s="81">
        <f t="shared" si="12"/>
        <v>30</v>
      </c>
      <c r="I21" s="3">
        <f t="shared" si="5"/>
        <v>30</v>
      </c>
      <c r="J21" s="3">
        <f t="shared" si="6"/>
        <v>4708</v>
      </c>
      <c r="K21" s="6">
        <f t="shared" si="13"/>
        <v>141240</v>
      </c>
      <c r="L21" s="6">
        <f t="shared" si="7"/>
        <v>6355.8</v>
      </c>
      <c r="M21" s="46">
        <f t="shared" si="16"/>
        <v>134884.20000000001</v>
      </c>
      <c r="N21" s="47">
        <f t="shared" si="8"/>
        <v>25627.998000000003</v>
      </c>
      <c r="O21" s="6">
        <f t="shared" si="9"/>
        <v>4720.947000000001</v>
      </c>
      <c r="P21" s="42">
        <f t="shared" si="14"/>
        <v>155791.25099999999</v>
      </c>
      <c r="Q21" s="42" t="str">
        <f t="shared" si="10"/>
        <v>CRÉDITO</v>
      </c>
      <c r="R21" s="42" t="str">
        <f t="shared" si="15"/>
        <v>Mala Demanda</v>
      </c>
    </row>
    <row r="22" spans="1:18" ht="46.5" customHeight="1" x14ac:dyDescent="0.25">
      <c r="A22" s="81">
        <v>716</v>
      </c>
      <c r="B22" s="3" t="str">
        <f t="shared" si="0"/>
        <v>891995856-3</v>
      </c>
      <c r="C22" s="39" t="str">
        <f t="shared" si="11"/>
        <v>FUNDACIÓN UNIVERSITARIA SAN MARTIN</v>
      </c>
      <c r="D22" s="4">
        <f t="shared" si="1"/>
        <v>7232452</v>
      </c>
      <c r="E22" s="4" t="str">
        <f t="shared" si="2"/>
        <v>Carrera 28 N° 19-24</v>
      </c>
      <c r="F22" s="3" t="str">
        <f t="shared" si="3"/>
        <v>Cundinamarca</v>
      </c>
      <c r="G22" s="39" t="str">
        <f t="shared" si="4"/>
        <v>BLOCK TAMAÑO CARTA</v>
      </c>
      <c r="H22" s="81">
        <f t="shared" si="12"/>
        <v>25</v>
      </c>
      <c r="I22" s="3">
        <f t="shared" si="5"/>
        <v>7</v>
      </c>
      <c r="J22" s="3">
        <f t="shared" si="6"/>
        <v>2400</v>
      </c>
      <c r="K22" s="6">
        <f t="shared" si="13"/>
        <v>60000</v>
      </c>
      <c r="L22" s="6">
        <f t="shared" si="7"/>
        <v>2700</v>
      </c>
      <c r="M22" s="46">
        <f t="shared" si="16"/>
        <v>57300</v>
      </c>
      <c r="N22" s="47">
        <f t="shared" si="8"/>
        <v>0</v>
      </c>
      <c r="O22" s="6">
        <f t="shared" si="9"/>
        <v>2005.5000000000002</v>
      </c>
      <c r="P22" s="42">
        <f t="shared" si="14"/>
        <v>55294.5</v>
      </c>
      <c r="Q22" s="42" t="str">
        <f t="shared" si="10"/>
        <v>CONTADO</v>
      </c>
      <c r="R22" s="42" t="str">
        <f t="shared" si="15"/>
        <v>Buena Demanda</v>
      </c>
    </row>
    <row r="23" spans="1:18" ht="34.5" customHeight="1" x14ac:dyDescent="0.25">
      <c r="A23" s="81">
        <v>717</v>
      </c>
      <c r="B23" s="3" t="str">
        <f t="shared" si="0"/>
        <v>800203863-5</v>
      </c>
      <c r="C23" s="39" t="str">
        <f t="shared" si="11"/>
        <v>INSTITUCIÓN UNIVERSITARIA ESCOLME</v>
      </c>
      <c r="D23" s="4">
        <f t="shared" si="1"/>
        <v>8213000</v>
      </c>
      <c r="E23" s="4" t="str">
        <f t="shared" si="2"/>
        <v>Calle 5 N° 3-85</v>
      </c>
      <c r="F23" s="3" t="str">
        <f t="shared" si="3"/>
        <v>Cundinamarca</v>
      </c>
      <c r="G23" s="39" t="str">
        <f t="shared" si="4"/>
        <v>CAJA LAPIZ MIRADO No. 2   X12 U</v>
      </c>
      <c r="H23" s="81">
        <f t="shared" si="12"/>
        <v>35</v>
      </c>
      <c r="I23" s="3">
        <f t="shared" si="5"/>
        <v>15</v>
      </c>
      <c r="J23" s="3">
        <f t="shared" si="6"/>
        <v>7680</v>
      </c>
      <c r="K23" s="6">
        <f t="shared" si="13"/>
        <v>268800</v>
      </c>
      <c r="L23" s="6">
        <f t="shared" si="7"/>
        <v>13440</v>
      </c>
      <c r="M23" s="46">
        <f t="shared" si="16"/>
        <v>255360</v>
      </c>
      <c r="N23" s="47">
        <f t="shared" si="8"/>
        <v>48518.400000000001</v>
      </c>
      <c r="O23" s="6">
        <f t="shared" si="9"/>
        <v>8937.6</v>
      </c>
      <c r="P23" s="42">
        <f t="shared" si="14"/>
        <v>294940.80000000005</v>
      </c>
      <c r="Q23" s="42" t="str">
        <f t="shared" si="10"/>
        <v>CRÉDITO</v>
      </c>
      <c r="R23" s="42" t="str">
        <f t="shared" si="15"/>
        <v>Mala Demanda</v>
      </c>
    </row>
    <row r="24" spans="1:18" ht="34.5" customHeight="1" x14ac:dyDescent="0.25">
      <c r="A24" s="81">
        <v>718</v>
      </c>
      <c r="B24" s="3" t="str">
        <f t="shared" si="0"/>
        <v>860421734-9</v>
      </c>
      <c r="C24" s="39" t="str">
        <f t="shared" si="11"/>
        <v>FUNDACIÓN UNIVERSITARIA INPAHU</v>
      </c>
      <c r="D24" s="4">
        <f t="shared" si="1"/>
        <v>2459170</v>
      </c>
      <c r="E24" s="4" t="str">
        <f t="shared" si="2"/>
        <v>Calle 30 N° 35-18</v>
      </c>
      <c r="F24" s="3" t="str">
        <f t="shared" si="3"/>
        <v>Atlántico</v>
      </c>
      <c r="G24" s="39" t="str">
        <f t="shared" si="4"/>
        <v>GRAPADORA PEQUEÑA</v>
      </c>
      <c r="H24" s="81">
        <f t="shared" si="12"/>
        <v>37</v>
      </c>
      <c r="I24" s="3">
        <f t="shared" si="5"/>
        <v>30</v>
      </c>
      <c r="J24" s="3">
        <f t="shared" si="6"/>
        <v>2456</v>
      </c>
      <c r="K24" s="6">
        <f t="shared" si="13"/>
        <v>90872</v>
      </c>
      <c r="L24" s="6">
        <f t="shared" si="7"/>
        <v>4543.6000000000004</v>
      </c>
      <c r="M24" s="46">
        <f t="shared" si="16"/>
        <v>86328.4</v>
      </c>
      <c r="N24" s="47">
        <f t="shared" si="8"/>
        <v>0</v>
      </c>
      <c r="O24" s="6">
        <f t="shared" si="9"/>
        <v>3021.4940000000001</v>
      </c>
      <c r="P24" s="42">
        <f t="shared" si="14"/>
        <v>83306.905999999988</v>
      </c>
      <c r="Q24" s="42" t="str">
        <f t="shared" si="10"/>
        <v>CONTADO</v>
      </c>
      <c r="R24" s="42" t="str">
        <f t="shared" si="15"/>
        <v>Mala Demanda</v>
      </c>
    </row>
    <row r="25" spans="1:18" ht="34.5" customHeight="1" x14ac:dyDescent="0.25">
      <c r="A25" s="81">
        <v>719</v>
      </c>
      <c r="B25" s="3" t="str">
        <f t="shared" si="0"/>
        <v>890310903-5</v>
      </c>
      <c r="C25" s="39" t="str">
        <f t="shared" si="11"/>
        <v>UNIVERSIDAD DE ANTIOQUIA</v>
      </c>
      <c r="D25" s="4">
        <f t="shared" si="1"/>
        <v>8213000</v>
      </c>
      <c r="E25" s="4" t="str">
        <f t="shared" si="2"/>
        <v>Calle 5 N° 3-85</v>
      </c>
      <c r="F25" s="3" t="str">
        <f t="shared" si="3"/>
        <v>Antioquia</v>
      </c>
      <c r="G25" s="39" t="str">
        <f t="shared" si="4"/>
        <v>BLOCK TAMAÑO CARTA</v>
      </c>
      <c r="H25" s="81">
        <f t="shared" si="12"/>
        <v>30</v>
      </c>
      <c r="I25" s="3">
        <f t="shared" si="5"/>
        <v>5</v>
      </c>
      <c r="J25" s="3">
        <f t="shared" si="6"/>
        <v>2400</v>
      </c>
      <c r="K25" s="6">
        <f t="shared" si="13"/>
        <v>72000</v>
      </c>
      <c r="L25" s="6">
        <f t="shared" si="7"/>
        <v>3240</v>
      </c>
      <c r="M25" s="46">
        <f t="shared" si="16"/>
        <v>68760</v>
      </c>
      <c r="N25" s="47">
        <f t="shared" si="8"/>
        <v>0</v>
      </c>
      <c r="O25" s="6">
        <f t="shared" si="9"/>
        <v>2406.6000000000004</v>
      </c>
      <c r="P25" s="42">
        <f t="shared" si="14"/>
        <v>66353.399999999994</v>
      </c>
      <c r="Q25" s="42" t="str">
        <f t="shared" si="10"/>
        <v>CRÉDITO</v>
      </c>
      <c r="R25" s="42" t="str">
        <f t="shared" si="15"/>
        <v>Buena Demanda</v>
      </c>
    </row>
    <row r="26" spans="1:18" ht="34.5" customHeight="1" x14ac:dyDescent="0.25">
      <c r="A26" s="81">
        <v>720</v>
      </c>
      <c r="B26" s="3" t="str">
        <f t="shared" si="0"/>
        <v>890212433-5</v>
      </c>
      <c r="C26" s="39" t="str">
        <f t="shared" si="11"/>
        <v>UNIVERSIDAD TÉCNICO AGRÍCOLA ITA</v>
      </c>
      <c r="D26" s="4">
        <f t="shared" si="1"/>
        <v>3172267</v>
      </c>
      <c r="E26" s="4" t="str">
        <f t="shared" si="2"/>
        <v>Carrera 53 N° 59-70</v>
      </c>
      <c r="F26" s="3" t="str">
        <f t="shared" si="3"/>
        <v>Nariño</v>
      </c>
      <c r="G26" s="39" t="str">
        <f t="shared" si="4"/>
        <v>CAJA DE LAPICEROS KILOMETRICO X 12 U</v>
      </c>
      <c r="H26" s="81">
        <f t="shared" si="12"/>
        <v>45</v>
      </c>
      <c r="I26" s="3">
        <f t="shared" si="5"/>
        <v>3</v>
      </c>
      <c r="J26" s="3">
        <f t="shared" si="6"/>
        <v>3500</v>
      </c>
      <c r="K26" s="6">
        <f t="shared" si="13"/>
        <v>157500</v>
      </c>
      <c r="L26" s="6">
        <f t="shared" si="7"/>
        <v>7875</v>
      </c>
      <c r="M26" s="46">
        <f t="shared" si="16"/>
        <v>149625</v>
      </c>
      <c r="N26" s="47">
        <f t="shared" si="8"/>
        <v>28428.75</v>
      </c>
      <c r="O26" s="6">
        <f t="shared" si="9"/>
        <v>5236.8750000000009</v>
      </c>
      <c r="P26" s="42">
        <f t="shared" si="14"/>
        <v>172816.875</v>
      </c>
      <c r="Q26" s="42" t="str">
        <f t="shared" si="10"/>
        <v>CONTADO</v>
      </c>
      <c r="R26" s="42" t="str">
        <f t="shared" si="15"/>
        <v>Buena Demanda</v>
      </c>
    </row>
    <row r="27" spans="1:18" ht="34.5" customHeight="1" x14ac:dyDescent="0.25">
      <c r="A27" s="81">
        <v>721</v>
      </c>
      <c r="B27" s="3" t="str">
        <f t="shared" si="0"/>
        <v>823004609-9</v>
      </c>
      <c r="C27" s="39" t="str">
        <f t="shared" si="11"/>
        <v>INSTITUTO DEPARTAMENTAL ARTES</v>
      </c>
      <c r="D27" s="4">
        <f t="shared" si="1"/>
        <v>6061101</v>
      </c>
      <c r="E27" s="4" t="str">
        <f t="shared" si="2"/>
        <v>Calle 70 N° 10 A-39</v>
      </c>
      <c r="F27" s="3" t="str">
        <f t="shared" si="3"/>
        <v>Risaralda</v>
      </c>
      <c r="G27" s="39" t="str">
        <f t="shared" si="4"/>
        <v>CARPETAS PARA ARCHIVO TAMAÑO OFICIO</v>
      </c>
      <c r="H27" s="81">
        <f t="shared" si="12"/>
        <v>32</v>
      </c>
      <c r="I27" s="3">
        <f t="shared" si="5"/>
        <v>30</v>
      </c>
      <c r="J27" s="3">
        <f t="shared" si="6"/>
        <v>7100</v>
      </c>
      <c r="K27" s="6">
        <f t="shared" si="13"/>
        <v>227200</v>
      </c>
      <c r="L27" s="6">
        <f t="shared" si="7"/>
        <v>11360</v>
      </c>
      <c r="M27" s="46">
        <f t="shared" si="16"/>
        <v>215840</v>
      </c>
      <c r="N27" s="47">
        <f t="shared" si="8"/>
        <v>41009.599999999999</v>
      </c>
      <c r="O27" s="6">
        <f t="shared" si="9"/>
        <v>7554.4000000000005</v>
      </c>
      <c r="P27" s="42">
        <f t="shared" si="14"/>
        <v>249295.2</v>
      </c>
      <c r="Q27" s="42" t="str">
        <f t="shared" si="10"/>
        <v>CRÉDITO</v>
      </c>
      <c r="R27" s="42" t="str">
        <f t="shared" si="15"/>
        <v>Mala Demanda</v>
      </c>
    </row>
    <row r="28" spans="1:18" ht="34.5" customHeight="1" x14ac:dyDescent="0.25">
      <c r="A28" s="81">
        <v>722</v>
      </c>
      <c r="B28" s="3" t="str">
        <f t="shared" si="0"/>
        <v>890982134-3</v>
      </c>
      <c r="C28" s="39" t="str">
        <f t="shared" si="11"/>
        <v>UNIVERSIDAD ANTIONIO JOSÉ</v>
      </c>
      <c r="D28" s="4">
        <f t="shared" si="1"/>
        <v>2812282</v>
      </c>
      <c r="E28" s="4" t="str">
        <f t="shared" si="2"/>
        <v>Calle 27 N° 21-49</v>
      </c>
      <c r="F28" s="3" t="str">
        <f t="shared" si="3"/>
        <v>Sucre</v>
      </c>
      <c r="G28" s="39" t="str">
        <f t="shared" si="4"/>
        <v>CARPETAS PARA ARCHIVO TAMAÑO CARTA</v>
      </c>
      <c r="H28" s="81">
        <f t="shared" si="12"/>
        <v>24</v>
      </c>
      <c r="I28" s="3">
        <f t="shared" si="5"/>
        <v>30</v>
      </c>
      <c r="J28" s="3">
        <f t="shared" si="6"/>
        <v>4500</v>
      </c>
      <c r="K28" s="6">
        <f t="shared" si="13"/>
        <v>108000</v>
      </c>
      <c r="L28" s="6">
        <f t="shared" si="7"/>
        <v>4860</v>
      </c>
      <c r="M28" s="46">
        <f t="shared" si="16"/>
        <v>103140</v>
      </c>
      <c r="N28" s="47">
        <f t="shared" si="8"/>
        <v>19596.599999999999</v>
      </c>
      <c r="O28" s="6">
        <f t="shared" si="9"/>
        <v>3609.9000000000005</v>
      </c>
      <c r="P28" s="42">
        <f t="shared" si="14"/>
        <v>119126.70000000001</v>
      </c>
      <c r="Q28" s="42" t="str">
        <f t="shared" si="10"/>
        <v>CONTADO</v>
      </c>
      <c r="R28" s="42" t="str">
        <f t="shared" si="15"/>
        <v>Mala Demanda</v>
      </c>
    </row>
    <row r="29" spans="1:18" ht="43.5" customHeight="1" x14ac:dyDescent="0.25">
      <c r="A29" s="81">
        <v>723</v>
      </c>
      <c r="B29" s="3" t="str">
        <f t="shared" si="0"/>
        <v>892480054-9</v>
      </c>
      <c r="C29" s="39" t="str">
        <f t="shared" si="11"/>
        <v>INSTITUCIÓN DE EDUCACIÓN EMPRESARIAL</v>
      </c>
      <c r="D29" s="4">
        <f t="shared" si="1"/>
        <v>2804017</v>
      </c>
      <c r="E29" s="4" t="str">
        <f t="shared" si="2"/>
        <v>Calle 21 N° 6-01</v>
      </c>
      <c r="F29" s="3" t="str">
        <f t="shared" si="3"/>
        <v>Sucre</v>
      </c>
      <c r="G29" s="39" t="str">
        <f t="shared" si="4"/>
        <v>CARPETAS PARA ARCHIVO TAMAÑO CARTA</v>
      </c>
      <c r="H29" s="81">
        <f t="shared" si="12"/>
        <v>21</v>
      </c>
      <c r="I29" s="3">
        <f t="shared" si="5"/>
        <v>30</v>
      </c>
      <c r="J29" s="3">
        <f t="shared" si="6"/>
        <v>4500</v>
      </c>
      <c r="K29" s="6">
        <f t="shared" si="13"/>
        <v>94500</v>
      </c>
      <c r="L29" s="6">
        <f t="shared" si="7"/>
        <v>4252.5</v>
      </c>
      <c r="M29" s="46">
        <f t="shared" si="16"/>
        <v>90247.5</v>
      </c>
      <c r="N29" s="47">
        <f t="shared" si="8"/>
        <v>17147.025000000001</v>
      </c>
      <c r="O29" s="6">
        <f t="shared" si="9"/>
        <v>3158.6625000000004</v>
      </c>
      <c r="P29" s="42">
        <f t="shared" si="14"/>
        <v>104235.86249999999</v>
      </c>
      <c r="Q29" s="42" t="str">
        <f t="shared" si="10"/>
        <v>CRÉDITO</v>
      </c>
      <c r="R29" s="42" t="str">
        <f t="shared" si="15"/>
        <v>Mala Demanda</v>
      </c>
    </row>
    <row r="30" spans="1:18" ht="34.5" customHeight="1" x14ac:dyDescent="0.25">
      <c r="A30" s="81">
        <v>724</v>
      </c>
      <c r="B30" s="3" t="str">
        <f t="shared" si="0"/>
        <v>891421189-6</v>
      </c>
      <c r="C30" s="39" t="str">
        <f t="shared" si="11"/>
        <v xml:space="preserve">UNIVERSIDAD CENTRAL </v>
      </c>
      <c r="D30" s="4">
        <f t="shared" si="1"/>
        <v>3681013</v>
      </c>
      <c r="E30" s="4" t="str">
        <f t="shared" si="2"/>
        <v>Carrera 50 N° 79-155</v>
      </c>
      <c r="F30" s="3" t="str">
        <f t="shared" si="3"/>
        <v>Valle del Cauca</v>
      </c>
      <c r="G30" s="39" t="str">
        <f t="shared" si="4"/>
        <v xml:space="preserve">MORRAL </v>
      </c>
      <c r="H30" s="81">
        <f t="shared" si="12"/>
        <v>26</v>
      </c>
      <c r="I30" s="3">
        <f t="shared" si="5"/>
        <v>30</v>
      </c>
      <c r="J30" s="3">
        <f t="shared" si="6"/>
        <v>24000</v>
      </c>
      <c r="K30" s="6">
        <f t="shared" si="13"/>
        <v>624000</v>
      </c>
      <c r="L30" s="6">
        <f t="shared" si="7"/>
        <v>28080</v>
      </c>
      <c r="M30" s="46">
        <f t="shared" si="16"/>
        <v>595920</v>
      </c>
      <c r="N30" s="47">
        <f t="shared" si="8"/>
        <v>113224.8</v>
      </c>
      <c r="O30" s="6">
        <f t="shared" si="9"/>
        <v>0</v>
      </c>
      <c r="P30" s="42">
        <f t="shared" si="14"/>
        <v>709144.8</v>
      </c>
      <c r="Q30" s="42" t="str">
        <f t="shared" si="10"/>
        <v>CONTADO</v>
      </c>
      <c r="R30" s="42" t="str">
        <f t="shared" si="15"/>
        <v>Mala Demanda</v>
      </c>
    </row>
    <row r="31" spans="1:18" ht="34.5" customHeight="1" x14ac:dyDescent="0.25">
      <c r="A31" s="81">
        <v>725</v>
      </c>
      <c r="B31" s="3" t="str">
        <f t="shared" si="0"/>
        <v>8902704562-5</v>
      </c>
      <c r="C31" s="39" t="str">
        <f t="shared" si="11"/>
        <v>UNIVERSIDAD EAFIT</v>
      </c>
      <c r="D31" s="4">
        <f t="shared" si="1"/>
        <v>3489292</v>
      </c>
      <c r="E31" s="4" t="str">
        <f t="shared" si="2"/>
        <v>Calle 67 N° 5-27</v>
      </c>
      <c r="F31" s="3" t="str">
        <f t="shared" si="3"/>
        <v>Antioquia</v>
      </c>
      <c r="G31" s="39" t="str">
        <f t="shared" si="4"/>
        <v xml:space="preserve">MORRAL </v>
      </c>
      <c r="H31" s="81">
        <f t="shared" si="12"/>
        <v>39</v>
      </c>
      <c r="I31" s="3">
        <f t="shared" si="5"/>
        <v>30</v>
      </c>
      <c r="J31" s="3">
        <f t="shared" si="6"/>
        <v>24000</v>
      </c>
      <c r="K31" s="6">
        <f t="shared" si="13"/>
        <v>936000</v>
      </c>
      <c r="L31" s="6">
        <f t="shared" si="7"/>
        <v>46800</v>
      </c>
      <c r="M31" s="46">
        <f t="shared" si="16"/>
        <v>889200</v>
      </c>
      <c r="N31" s="47">
        <f t="shared" si="8"/>
        <v>168948</v>
      </c>
      <c r="O31" s="6">
        <f t="shared" si="9"/>
        <v>0</v>
      </c>
      <c r="P31" s="42">
        <f t="shared" si="14"/>
        <v>1058148</v>
      </c>
      <c r="Q31" s="42" t="str">
        <f t="shared" si="10"/>
        <v>CRÉDITO</v>
      </c>
      <c r="R31" s="42" t="str">
        <f t="shared" si="15"/>
        <v>Mala Demanda</v>
      </c>
    </row>
    <row r="32" spans="1:18" ht="34.5" customHeight="1" x14ac:dyDescent="0.25">
      <c r="A32" s="81">
        <v>726</v>
      </c>
      <c r="B32" s="3" t="str">
        <f t="shared" si="0"/>
        <v>891204706-2</v>
      </c>
      <c r="C32" s="39" t="str">
        <f t="shared" si="11"/>
        <v>UNIVERSIDAD DE LOS ANDES</v>
      </c>
      <c r="D32" s="4">
        <f t="shared" si="1"/>
        <v>2916520</v>
      </c>
      <c r="E32" s="4" t="str">
        <f t="shared" si="2"/>
        <v>Calle 81 B N° 79-155</v>
      </c>
      <c r="F32" s="3" t="str">
        <f t="shared" si="3"/>
        <v>Cundinamarca</v>
      </c>
      <c r="G32" s="39" t="str">
        <f t="shared" si="4"/>
        <v xml:space="preserve">CRAYOLAS </v>
      </c>
      <c r="H32" s="81">
        <f t="shared" si="12"/>
        <v>41</v>
      </c>
      <c r="I32" s="3">
        <f t="shared" si="5"/>
        <v>4</v>
      </c>
      <c r="J32" s="3">
        <f t="shared" si="6"/>
        <v>1000</v>
      </c>
      <c r="K32" s="6">
        <f t="shared" si="13"/>
        <v>41000</v>
      </c>
      <c r="L32" s="6">
        <f t="shared" si="7"/>
        <v>2050</v>
      </c>
      <c r="M32" s="46">
        <f t="shared" si="16"/>
        <v>38950</v>
      </c>
      <c r="N32" s="47">
        <f t="shared" si="8"/>
        <v>0</v>
      </c>
      <c r="O32" s="6">
        <f t="shared" si="9"/>
        <v>1363.2500000000002</v>
      </c>
      <c r="P32" s="42">
        <f t="shared" si="14"/>
        <v>37586.75</v>
      </c>
      <c r="Q32" s="42" t="str">
        <f t="shared" si="10"/>
        <v>CONTADO</v>
      </c>
      <c r="R32" s="42" t="str">
        <f t="shared" si="15"/>
        <v>Buena Demanda</v>
      </c>
    </row>
    <row r="33" spans="1:18" ht="46.5" customHeight="1" x14ac:dyDescent="0.25">
      <c r="A33" s="81">
        <v>727</v>
      </c>
      <c r="B33" s="3" t="str">
        <f t="shared" si="0"/>
        <v>893500248-9</v>
      </c>
      <c r="C33" s="39" t="str">
        <f t="shared" si="11"/>
        <v>UNIVERSIDAD AUTONOMA DE OCCIDENTE</v>
      </c>
      <c r="D33" s="4">
        <f t="shared" si="1"/>
        <v>5132100</v>
      </c>
      <c r="E33" s="4" t="str">
        <f t="shared" si="2"/>
        <v>Calle 51 N° 72 A-70</v>
      </c>
      <c r="F33" s="3" t="str">
        <f t="shared" si="3"/>
        <v>Cundinamarca</v>
      </c>
      <c r="G33" s="39" t="str">
        <f t="shared" si="4"/>
        <v>CAJA DE COLORES NORMA</v>
      </c>
      <c r="H33" s="81">
        <f t="shared" si="12"/>
        <v>43</v>
      </c>
      <c r="I33" s="3">
        <f t="shared" si="5"/>
        <v>7</v>
      </c>
      <c r="J33" s="3">
        <f t="shared" si="6"/>
        <v>9500</v>
      </c>
      <c r="K33" s="6">
        <f t="shared" si="13"/>
        <v>408500</v>
      </c>
      <c r="L33" s="6">
        <f t="shared" si="7"/>
        <v>20425</v>
      </c>
      <c r="M33" s="46">
        <f t="shared" si="16"/>
        <v>388075</v>
      </c>
      <c r="N33" s="47">
        <f t="shared" si="8"/>
        <v>73734.25</v>
      </c>
      <c r="O33" s="6">
        <f t="shared" si="9"/>
        <v>13582.625000000002</v>
      </c>
      <c r="P33" s="42">
        <f t="shared" si="14"/>
        <v>448226.625</v>
      </c>
      <c r="Q33" s="42" t="str">
        <f t="shared" si="10"/>
        <v>CRÉDITO</v>
      </c>
      <c r="R33" s="42" t="str">
        <f t="shared" si="15"/>
        <v>Buena Demanda</v>
      </c>
    </row>
    <row r="34" spans="1:18" ht="34.5" customHeight="1" x14ac:dyDescent="0.25">
      <c r="A34" s="81">
        <v>728</v>
      </c>
      <c r="B34" s="3" t="str">
        <f t="shared" si="0"/>
        <v>860503837-7</v>
      </c>
      <c r="C34" s="39" t="str">
        <f t="shared" si="11"/>
        <v>UNIPANAMERICANA</v>
      </c>
      <c r="D34" s="4">
        <f t="shared" si="1"/>
        <v>7434343</v>
      </c>
      <c r="E34" s="4" t="str">
        <f t="shared" si="2"/>
        <v>Calle 76 N° 12-58</v>
      </c>
      <c r="F34" s="3" t="str">
        <f t="shared" si="3"/>
        <v>Risaralda</v>
      </c>
      <c r="G34" s="39" t="str">
        <f t="shared" si="4"/>
        <v xml:space="preserve">CRAYOLAS </v>
      </c>
      <c r="H34" s="81">
        <f t="shared" si="12"/>
        <v>22</v>
      </c>
      <c r="I34" s="3">
        <f t="shared" si="5"/>
        <v>5</v>
      </c>
      <c r="J34" s="3">
        <f t="shared" si="6"/>
        <v>1000</v>
      </c>
      <c r="K34" s="6">
        <f t="shared" si="13"/>
        <v>22000</v>
      </c>
      <c r="L34" s="6">
        <f t="shared" si="7"/>
        <v>990</v>
      </c>
      <c r="M34" s="46">
        <f t="shared" si="16"/>
        <v>21010</v>
      </c>
      <c r="N34" s="47">
        <f t="shared" si="8"/>
        <v>0</v>
      </c>
      <c r="O34" s="6">
        <f t="shared" si="9"/>
        <v>735.35</v>
      </c>
      <c r="P34" s="42">
        <f t="shared" si="14"/>
        <v>20274.650000000001</v>
      </c>
      <c r="Q34" s="42" t="str">
        <f t="shared" si="10"/>
        <v>CRÉDITO</v>
      </c>
      <c r="R34" s="42" t="str">
        <f t="shared" si="15"/>
        <v>Buena Demanda</v>
      </c>
    </row>
    <row r="35" spans="1:18" ht="34.5" customHeight="1" x14ac:dyDescent="0.25">
      <c r="A35" s="81">
        <v>729</v>
      </c>
      <c r="B35" s="3" t="str">
        <f t="shared" si="0"/>
        <v>811005425-1</v>
      </c>
      <c r="C35" s="39" t="str">
        <f t="shared" si="11"/>
        <v>UNIVERSIDAD DE PAMPLONA</v>
      </c>
      <c r="D35" s="4">
        <f t="shared" si="1"/>
        <v>2320606</v>
      </c>
      <c r="E35" s="4" t="str">
        <f t="shared" si="2"/>
        <v>Carrera 19 N° 49-20</v>
      </c>
      <c r="F35" s="3" t="str">
        <f t="shared" si="3"/>
        <v>Sucre</v>
      </c>
      <c r="G35" s="39" t="str">
        <f t="shared" si="4"/>
        <v>GRAPADORA MEDIANA</v>
      </c>
      <c r="H35" s="81">
        <f t="shared" si="12"/>
        <v>20</v>
      </c>
      <c r="I35" s="3">
        <f t="shared" si="5"/>
        <v>30</v>
      </c>
      <c r="J35" s="3">
        <f t="shared" si="6"/>
        <v>4708</v>
      </c>
      <c r="K35" s="6">
        <f t="shared" si="13"/>
        <v>94160</v>
      </c>
      <c r="L35" s="6">
        <f t="shared" si="7"/>
        <v>2824.7999999999997</v>
      </c>
      <c r="M35" s="46">
        <f t="shared" si="16"/>
        <v>91335.2</v>
      </c>
      <c r="N35" s="47">
        <f t="shared" si="8"/>
        <v>17353.687999999998</v>
      </c>
      <c r="O35" s="6">
        <f t="shared" si="9"/>
        <v>3196.7320000000004</v>
      </c>
      <c r="P35" s="42">
        <f t="shared" si="14"/>
        <v>105492.15599999999</v>
      </c>
      <c r="Q35" s="42" t="str">
        <f t="shared" si="10"/>
        <v>CONTADO</v>
      </c>
      <c r="R35" s="42" t="str">
        <f t="shared" si="15"/>
        <v>Mala Demanda</v>
      </c>
    </row>
    <row r="36" spans="1:18" ht="34.5" customHeight="1" x14ac:dyDescent="0.25">
      <c r="A36" s="81">
        <v>730</v>
      </c>
      <c r="B36" s="3" t="str">
        <f t="shared" si="0"/>
        <v>860510627-6</v>
      </c>
      <c r="C36" s="39" t="str">
        <f t="shared" si="11"/>
        <v>UNIVERSIDAD DEL ATLÁNTICO</v>
      </c>
      <c r="D36" s="4">
        <f t="shared" si="1"/>
        <v>2880693</v>
      </c>
      <c r="E36" s="4" t="str">
        <f t="shared" si="2"/>
        <v>Calle 9 N° 34-01</v>
      </c>
      <c r="F36" s="3" t="str">
        <f t="shared" si="3"/>
        <v xml:space="preserve">Atlántico </v>
      </c>
      <c r="G36" s="39" t="str">
        <f t="shared" si="4"/>
        <v xml:space="preserve">MORRAL </v>
      </c>
      <c r="H36" s="81">
        <f t="shared" si="12"/>
        <v>10</v>
      </c>
      <c r="I36" s="3">
        <f t="shared" si="5"/>
        <v>30</v>
      </c>
      <c r="J36" s="3">
        <f t="shared" si="6"/>
        <v>24000</v>
      </c>
      <c r="K36" s="6">
        <f t="shared" si="13"/>
        <v>240000</v>
      </c>
      <c r="L36" s="6">
        <f t="shared" si="7"/>
        <v>7200</v>
      </c>
      <c r="M36" s="46">
        <f t="shared" si="16"/>
        <v>232800</v>
      </c>
      <c r="N36" s="47">
        <f t="shared" si="8"/>
        <v>44232</v>
      </c>
      <c r="O36" s="6">
        <f t="shared" si="9"/>
        <v>8148.0000000000009</v>
      </c>
      <c r="P36" s="42">
        <f t="shared" si="14"/>
        <v>268884</v>
      </c>
      <c r="Q36" s="42" t="str">
        <f t="shared" si="10"/>
        <v>CONTADO</v>
      </c>
      <c r="R36" s="42" t="str">
        <f t="shared" si="15"/>
        <v>Mala Demanda</v>
      </c>
    </row>
    <row r="37" spans="1:18" x14ac:dyDescent="0.25">
      <c r="A37" s="15"/>
      <c r="I37" s="3" t="str">
        <f t="shared" si="5"/>
        <v/>
      </c>
      <c r="J37" s="14"/>
      <c r="K37" s="14"/>
      <c r="L37" s="6"/>
      <c r="M37" s="6"/>
      <c r="N37" s="47"/>
      <c r="O37" s="6"/>
      <c r="P37" s="7"/>
      <c r="Q37" s="7" t="str">
        <f t="shared" si="10"/>
        <v/>
      </c>
      <c r="R37" s="42"/>
    </row>
    <row r="38" spans="1:18" x14ac:dyDescent="0.25">
      <c r="I38" s="41" t="str">
        <f t="shared" si="5"/>
        <v/>
      </c>
      <c r="L38" s="52"/>
      <c r="M38" s="52"/>
      <c r="N38" s="53"/>
      <c r="O38" s="52"/>
      <c r="P38" s="43"/>
      <c r="Q38" s="43" t="str">
        <f t="shared" si="10"/>
        <v/>
      </c>
      <c r="R38" s="54"/>
    </row>
    <row r="39" spans="1:18" x14ac:dyDescent="0.25">
      <c r="I39" s="41" t="str">
        <f t="shared" si="5"/>
        <v/>
      </c>
      <c r="L39" s="52"/>
      <c r="M39" s="52"/>
      <c r="N39" s="53"/>
      <c r="O39" s="52"/>
      <c r="P39" s="43"/>
      <c r="Q39" s="43" t="str">
        <f t="shared" si="10"/>
        <v/>
      </c>
      <c r="R39" s="54"/>
    </row>
    <row r="40" spans="1:18" x14ac:dyDescent="0.25">
      <c r="I40" s="41" t="str">
        <f t="shared" si="5"/>
        <v/>
      </c>
      <c r="L40" s="52"/>
      <c r="M40" s="52"/>
      <c r="N40" s="53"/>
      <c r="O40" s="52"/>
      <c r="P40" s="43"/>
      <c r="Q40" s="43" t="str">
        <f t="shared" si="10"/>
        <v/>
      </c>
      <c r="R40" s="54"/>
    </row>
    <row r="41" spans="1:18" x14ac:dyDescent="0.25">
      <c r="I41" s="41" t="str">
        <f t="shared" si="5"/>
        <v/>
      </c>
      <c r="L41" s="52"/>
      <c r="M41" s="52"/>
      <c r="N41" s="53"/>
      <c r="O41" s="52"/>
      <c r="P41" s="43"/>
      <c r="Q41" s="43" t="str">
        <f t="shared" si="10"/>
        <v/>
      </c>
      <c r="R41" s="54"/>
    </row>
    <row r="42" spans="1:18" x14ac:dyDescent="0.25">
      <c r="I42" s="41" t="str">
        <f t="shared" si="5"/>
        <v/>
      </c>
      <c r="L42" s="52"/>
      <c r="M42" s="52"/>
      <c r="N42" s="53"/>
      <c r="O42" s="52"/>
      <c r="P42" s="43"/>
      <c r="Q42" s="43" t="str">
        <f t="shared" si="10"/>
        <v/>
      </c>
      <c r="R42" s="54"/>
    </row>
    <row r="43" spans="1:18" x14ac:dyDescent="0.25">
      <c r="I43" s="41" t="str">
        <f t="shared" si="5"/>
        <v/>
      </c>
      <c r="L43" s="52"/>
      <c r="M43" s="52"/>
      <c r="N43" s="53"/>
      <c r="O43" s="52"/>
      <c r="P43" s="43"/>
      <c r="Q43" s="43" t="str">
        <f t="shared" si="10"/>
        <v/>
      </c>
      <c r="R43" s="54"/>
    </row>
    <row r="44" spans="1:18" x14ac:dyDescent="0.25">
      <c r="C44" s="49"/>
      <c r="D44" s="20"/>
      <c r="E44" s="20"/>
      <c r="I44" s="41" t="str">
        <f t="shared" si="5"/>
        <v/>
      </c>
      <c r="L44" s="52"/>
      <c r="M44" s="52"/>
      <c r="N44" s="53"/>
      <c r="O44" s="52"/>
      <c r="P44" s="43"/>
      <c r="Q44" s="43" t="str">
        <f t="shared" si="10"/>
        <v/>
      </c>
      <c r="R44" s="54"/>
    </row>
    <row r="47" spans="1:18" x14ac:dyDescent="0.25">
      <c r="B47" s="3" t="str">
        <f>IF(ISBLANK(A37),"",IF(ISERROR(VLOOKUP(A37,bdpapeleria,2,FALSE)),"El dato no existe",VLOOKUP(A37,bdpapeleria,2,FALSE)))</f>
        <v/>
      </c>
      <c r="C47" s="85" t="s">
        <v>72</v>
      </c>
      <c r="D47" s="85"/>
      <c r="E47" s="85"/>
      <c r="F47" s="85"/>
      <c r="G47" s="85"/>
      <c r="H47" s="85"/>
    </row>
    <row r="48" spans="1:18" x14ac:dyDescent="0.25">
      <c r="B48" s="36" t="s">
        <v>73</v>
      </c>
      <c r="C48" s="40">
        <f>SUM(H7:H36)</f>
        <v>891</v>
      </c>
      <c r="D48" s="48"/>
      <c r="E48" s="45" t="s">
        <v>8</v>
      </c>
      <c r="F48" s="45">
        <v>0.03</v>
      </c>
      <c r="G48" s="44">
        <v>4.4999999999999998E-2</v>
      </c>
      <c r="H48" s="45">
        <v>0.05</v>
      </c>
    </row>
    <row r="49" spans="2:8" x14ac:dyDescent="0.25">
      <c r="B49" s="36" t="s">
        <v>74</v>
      </c>
      <c r="C49" s="55">
        <f>SUM(M7:M36)</f>
        <v>7957042.7000000002</v>
      </c>
      <c r="D49" s="20"/>
      <c r="E49" s="5" t="s">
        <v>10</v>
      </c>
      <c r="F49" s="45">
        <v>0.19</v>
      </c>
      <c r="G49" s="51"/>
      <c r="H49" s="51"/>
    </row>
    <row r="50" spans="2:8" x14ac:dyDescent="0.25">
      <c r="B50" s="36" t="s">
        <v>12</v>
      </c>
      <c r="C50" s="55">
        <f>SUM(P7:P36)</f>
        <v>9253155.7395000011</v>
      </c>
      <c r="D50" s="20"/>
      <c r="E50" s="5" t="s">
        <v>163</v>
      </c>
      <c r="F50" s="44">
        <v>3.5000000000000003E-2</v>
      </c>
      <c r="G50" s="51"/>
      <c r="H50" s="51"/>
    </row>
    <row r="51" spans="2:8" x14ac:dyDescent="0.25">
      <c r="B51" s="36" t="s">
        <v>75</v>
      </c>
      <c r="C51" s="55">
        <f>AVERAGE(P7:P36)</f>
        <v>308438.52465000004</v>
      </c>
      <c r="D51" s="20"/>
      <c r="E51" s="20"/>
    </row>
    <row r="52" spans="2:8" x14ac:dyDescent="0.25">
      <c r="B52" s="36" t="s">
        <v>76</v>
      </c>
      <c r="C52" s="55">
        <f>MAX(P7:P36)</f>
        <v>1380510.075</v>
      </c>
      <c r="D52" s="20"/>
      <c r="E52" s="20"/>
    </row>
    <row r="53" spans="2:8" x14ac:dyDescent="0.25">
      <c r="B53" s="36" t="s">
        <v>77</v>
      </c>
      <c r="C53" s="55">
        <f>MIN(P7:P36)</f>
        <v>20274.650000000001</v>
      </c>
      <c r="D53" s="20"/>
      <c r="E53" s="20"/>
    </row>
  </sheetData>
  <sheetProtection password="C09A" sheet="1" objects="1" scenarios="1"/>
  <mergeCells count="3">
    <mergeCell ref="A2:P2"/>
    <mergeCell ref="A4:P4"/>
    <mergeCell ref="C47:H4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8"/>
  <sheetViews>
    <sheetView workbookViewId="0">
      <selection activeCell="F1" sqref="F1:I2"/>
    </sheetView>
  </sheetViews>
  <sheetFormatPr baseColWidth="10" defaultRowHeight="15" x14ac:dyDescent="0.25"/>
  <cols>
    <col min="4" max="4" width="17.5703125" customWidth="1"/>
    <col min="5" max="5" width="13.7109375" customWidth="1"/>
  </cols>
  <sheetData>
    <row r="1" spans="1:31" ht="15" customHeight="1" x14ac:dyDescent="0.25">
      <c r="A1" s="110" t="s">
        <v>96</v>
      </c>
      <c r="B1" s="111"/>
      <c r="C1" s="111"/>
      <c r="D1" s="112"/>
      <c r="E1" s="116" t="s">
        <v>78</v>
      </c>
      <c r="F1" s="118">
        <v>701</v>
      </c>
      <c r="G1" s="118"/>
      <c r="H1" s="118"/>
      <c r="I1" s="118"/>
      <c r="L1" s="110" t="s">
        <v>96</v>
      </c>
      <c r="M1" s="111"/>
      <c r="N1" s="111"/>
      <c r="O1" s="112"/>
      <c r="P1" s="116" t="s">
        <v>78</v>
      </c>
      <c r="Q1" s="118">
        <v>711</v>
      </c>
      <c r="R1" s="118"/>
      <c r="S1" s="118"/>
      <c r="T1" s="118"/>
      <c r="W1" s="110" t="s">
        <v>96</v>
      </c>
      <c r="X1" s="111"/>
      <c r="Y1" s="111"/>
      <c r="Z1" s="112"/>
      <c r="AA1" s="116" t="s">
        <v>78</v>
      </c>
      <c r="AB1" s="118">
        <v>721</v>
      </c>
      <c r="AC1" s="118"/>
      <c r="AD1" s="118"/>
      <c r="AE1" s="118"/>
    </row>
    <row r="2" spans="1:31" ht="15" customHeight="1" x14ac:dyDescent="0.25">
      <c r="A2" s="113"/>
      <c r="B2" s="114"/>
      <c r="C2" s="114"/>
      <c r="D2" s="115"/>
      <c r="E2" s="117"/>
      <c r="F2" s="118"/>
      <c r="G2" s="118"/>
      <c r="H2" s="118"/>
      <c r="I2" s="118"/>
      <c r="L2" s="113"/>
      <c r="M2" s="114"/>
      <c r="N2" s="114"/>
      <c r="O2" s="115"/>
      <c r="P2" s="117"/>
      <c r="Q2" s="118"/>
      <c r="R2" s="118"/>
      <c r="S2" s="118"/>
      <c r="T2" s="118"/>
      <c r="W2" s="113"/>
      <c r="X2" s="114"/>
      <c r="Y2" s="114"/>
      <c r="Z2" s="115"/>
      <c r="AA2" s="117"/>
      <c r="AB2" s="118"/>
      <c r="AC2" s="118"/>
      <c r="AD2" s="118"/>
      <c r="AE2" s="118"/>
    </row>
    <row r="3" spans="1:31" x14ac:dyDescent="0.25">
      <c r="A3" s="119" t="s">
        <v>3</v>
      </c>
      <c r="B3" s="121" t="str">
        <f>IF(ISBLANK(F1),"",IF(ISERROR(VLOOKUP(F1,PAPELERIA_PAPEL_Y_LÁPIZ,3,FALSE)),"El dato no existe",VLOOKUP(F1,PAPELERIA_PAPEL_Y_LÁPIZ,3,FALSE)))</f>
        <v>COLEGIO MAYOR DE ANTIOQUIA</v>
      </c>
      <c r="C3" s="121"/>
      <c r="D3" s="121"/>
      <c r="E3" s="122"/>
      <c r="F3" s="125" t="s">
        <v>79</v>
      </c>
      <c r="G3" s="125"/>
      <c r="H3" s="125"/>
      <c r="I3" s="126"/>
      <c r="L3" s="119" t="s">
        <v>3</v>
      </c>
      <c r="M3" s="121" t="str">
        <f>IF(ISBLANK(Q1),"",IF(ISERROR(VLOOKUP(Q1,PAPELERIA_PAPEL_Y_LÁPIZ,3,FALSE)),"El dato no existe",VLOOKUP(Q1,PAPELERIA_PAPEL_Y_LÁPIZ,3,FALSE)))</f>
        <v>ESCUELA NACIONAL DE DEPORTE</v>
      </c>
      <c r="N3" s="121"/>
      <c r="O3" s="121"/>
      <c r="P3" s="122"/>
      <c r="Q3" s="125" t="s">
        <v>79</v>
      </c>
      <c r="R3" s="125"/>
      <c r="S3" s="125"/>
      <c r="T3" s="126"/>
      <c r="W3" s="119" t="s">
        <v>3</v>
      </c>
      <c r="X3" s="121" t="str">
        <f>IF(ISBLANK(AB1),"",IF(ISERROR(VLOOKUP(AB1,PAPELERIA_PAPEL_Y_LÁPIZ,3,FALSE)),"El dato no existe",VLOOKUP(AB1,PAPELERIA_PAPEL_Y_LÁPIZ,3,FALSE)))</f>
        <v>INSTITUTO DEPARTAMENTAL ARTES</v>
      </c>
      <c r="Y3" s="121"/>
      <c r="Z3" s="121"/>
      <c r="AA3" s="122"/>
      <c r="AB3" s="125" t="s">
        <v>79</v>
      </c>
      <c r="AC3" s="125"/>
      <c r="AD3" s="125"/>
      <c r="AE3" s="126"/>
    </row>
    <row r="4" spans="1:31" x14ac:dyDescent="0.25">
      <c r="A4" s="120"/>
      <c r="B4" s="123"/>
      <c r="C4" s="123"/>
      <c r="D4" s="123"/>
      <c r="E4" s="124"/>
      <c r="F4" s="127">
        <v>26</v>
      </c>
      <c r="G4" s="128"/>
      <c r="H4" s="30">
        <v>11</v>
      </c>
      <c r="I4" s="28">
        <v>2018</v>
      </c>
      <c r="L4" s="120"/>
      <c r="M4" s="123"/>
      <c r="N4" s="123"/>
      <c r="O4" s="123"/>
      <c r="P4" s="124"/>
      <c r="Q4" s="127">
        <v>26</v>
      </c>
      <c r="R4" s="128"/>
      <c r="S4" s="30">
        <v>11</v>
      </c>
      <c r="T4" s="28">
        <v>2018</v>
      </c>
      <c r="W4" s="120"/>
      <c r="X4" s="123"/>
      <c r="Y4" s="123"/>
      <c r="Z4" s="123"/>
      <c r="AA4" s="124"/>
      <c r="AB4" s="127">
        <v>26</v>
      </c>
      <c r="AC4" s="128"/>
      <c r="AD4" s="30">
        <v>11</v>
      </c>
      <c r="AE4" s="28">
        <v>2018</v>
      </c>
    </row>
    <row r="5" spans="1:31" x14ac:dyDescent="0.25">
      <c r="A5" s="29" t="s">
        <v>95</v>
      </c>
      <c r="B5" s="94" t="str">
        <f>IF(ISBLANK(F1),"",IF(ISERROR(VLOOKUP(F1,PAPELERIA_PAPEL_Y_LÁPIZ,2,FALSE)),"El dato no existe",VLOOKUP(F1,PAPELERIA_PAPEL_Y_LÁPIZ,2,FALSE)))</f>
        <v>890980134-1</v>
      </c>
      <c r="C5" s="95"/>
      <c r="D5" s="29" t="s">
        <v>94</v>
      </c>
      <c r="E5" s="93" t="str">
        <f>IF(ISBLANK(F1),"",IF(ISERROR(VLOOKUP(F1,PAPELERIA_PAPEL_Y_LÁPIZ,5,FALSE)),"El dato no existe",VLOOKUP(F1,PAPELERIA_PAPEL_Y_LÁPIZ,5,FALSE)))</f>
        <v>Carrera 78 N° 65-46</v>
      </c>
      <c r="F5" s="93"/>
      <c r="G5" s="93"/>
      <c r="H5" s="93"/>
      <c r="I5" s="93"/>
      <c r="L5" s="29" t="s">
        <v>95</v>
      </c>
      <c r="M5" s="94" t="str">
        <f>IF(ISBLANK(Q1),"",IF(ISERROR(VLOOKUP(Q1,PAPELERIA_PAPEL_Y_LÁPIZ,2,FALSE)),"El dato no existe",VLOOKUP(Q1,PAPELERIA_PAPEL_Y_LÁPIZ,2,FALSE)))</f>
        <v>800003863-5</v>
      </c>
      <c r="N5" s="95"/>
      <c r="O5" s="29" t="s">
        <v>94</v>
      </c>
      <c r="P5" s="93" t="str">
        <f>IF(ISBLANK(Q1),"",IF(ISERROR(VLOOKUP(Q1,PAPELERIA_PAPEL_Y_LÁPIZ,5,FALSE)),"El dato no existe",VLOOKUP(Q1,PAPELERIA_PAPEL_Y_LÁPIZ,5,FALSE)))</f>
        <v>Calle 19 N° 3-16</v>
      </c>
      <c r="Q5" s="93"/>
      <c r="R5" s="93"/>
      <c r="S5" s="93"/>
      <c r="T5" s="93"/>
      <c r="W5" s="29" t="s">
        <v>95</v>
      </c>
      <c r="X5" s="94" t="str">
        <f>IF(ISBLANK(AB1),"",IF(ISERROR(VLOOKUP(AB1,PAPELERIA_PAPEL_Y_LÁPIZ,2,FALSE)),"El dato no existe",VLOOKUP(AB1,PAPELERIA_PAPEL_Y_LÁPIZ,2,FALSE)))</f>
        <v>823004609-9</v>
      </c>
      <c r="Y5" s="95"/>
      <c r="Z5" s="29" t="s">
        <v>94</v>
      </c>
      <c r="AA5" s="93" t="str">
        <f>IF(ISBLANK(AB1),"",IF(ISERROR(VLOOKUP(AB1,PAPELERIA_PAPEL_Y_LÁPIZ,5,FALSE)),"El dato no existe",VLOOKUP(AB1,PAPELERIA_PAPEL_Y_LÁPIZ,5,FALSE)))</f>
        <v>Calle 70 N° 10 A-39</v>
      </c>
      <c r="AB5" s="93"/>
      <c r="AC5" s="93"/>
      <c r="AD5" s="93"/>
      <c r="AE5" s="93"/>
    </row>
    <row r="6" spans="1:31" x14ac:dyDescent="0.25">
      <c r="A6" s="31" t="s">
        <v>80</v>
      </c>
      <c r="B6" s="94">
        <f>IF(ISBLANK(F1),"",IF(ISERROR(VLOOKUP(F1,PAPELERIA_PAPEL_Y_LÁPIZ,4,FALSE)),"El dato no existe",VLOOKUP(F1,PAPELERIA_PAPEL_Y_LÁPIZ,4,FALSE)))</f>
        <v>4445611</v>
      </c>
      <c r="C6" s="95"/>
      <c r="D6" s="91" t="s">
        <v>91</v>
      </c>
      <c r="E6" s="92"/>
      <c r="F6" s="96" t="str">
        <f>IF(ISBLANK(F1),"",IF(ISERROR(VLOOKUP(F1,PAPELERIA_PAPEL_Y_LÁPIZ,17,FALSE)),"El dato no existe",VLOOKUP(F1,PAPELERIA_PAPEL_Y_LÁPIZ,17,FALSE)))</f>
        <v>CONTADO</v>
      </c>
      <c r="G6" s="97"/>
      <c r="H6" s="97"/>
      <c r="I6" s="98"/>
      <c r="L6" s="31" t="s">
        <v>80</v>
      </c>
      <c r="M6" s="94">
        <f>IF(ISBLANK(Q1),"",IF(ISERROR(VLOOKUP(Q1,PAPELERIA_PAPEL_Y_LÁPIZ,4,FALSE)),"El dato no existe",VLOOKUP(Q1,PAPELERIA_PAPEL_Y_LÁPIZ,4,FALSE)))</f>
        <v>2826786</v>
      </c>
      <c r="N6" s="95"/>
      <c r="O6" s="91" t="s">
        <v>91</v>
      </c>
      <c r="P6" s="92"/>
      <c r="Q6" s="96" t="str">
        <f>IF(ISBLANK(Q1),"",IF(ISERROR(VLOOKUP(Q1,PAPELERIA_PAPEL_Y_LÁPIZ,17,FALSE)),"El dato no existe",VLOOKUP(Q1,PAPELERIA_PAPEL_Y_LÁPIZ,17,FALSE)))</f>
        <v>CONTADO</v>
      </c>
      <c r="R6" s="97"/>
      <c r="S6" s="97"/>
      <c r="T6" s="98"/>
      <c r="W6" s="31" t="s">
        <v>80</v>
      </c>
      <c r="X6" s="94">
        <f>IF(ISBLANK(AB1),"",IF(ISERROR(VLOOKUP(AB1,PAPELERIA_PAPEL_Y_LÁPIZ,4,FALSE)),"El dato no existe",VLOOKUP(AB1,PAPELERIA_PAPEL_Y_LÁPIZ,4,FALSE)))</f>
        <v>6061101</v>
      </c>
      <c r="Y6" s="95"/>
      <c r="Z6" s="91" t="s">
        <v>91</v>
      </c>
      <c r="AA6" s="92"/>
      <c r="AB6" s="96" t="str">
        <f>IF(ISBLANK(AB1),"",IF(ISERROR(VLOOKUP(AB1,PAPELERIA_PAPEL_Y_LÁPIZ,17,FALSE)),"El dato no existe",VLOOKUP(AB1,PAPELERIA_PAPEL_Y_LÁPIZ,17,FALSE)))</f>
        <v>CRÉDITO</v>
      </c>
      <c r="AC6" s="97"/>
      <c r="AD6" s="97"/>
      <c r="AE6" s="98"/>
    </row>
    <row r="7" spans="1:31" x14ac:dyDescent="0.25">
      <c r="A7" s="16" t="s">
        <v>81</v>
      </c>
      <c r="B7" s="86" t="s">
        <v>82</v>
      </c>
      <c r="C7" s="87"/>
      <c r="D7" s="87"/>
      <c r="E7" s="88"/>
      <c r="F7" s="89" t="s">
        <v>83</v>
      </c>
      <c r="G7" s="90"/>
      <c r="H7" s="86" t="s">
        <v>84</v>
      </c>
      <c r="I7" s="88"/>
      <c r="L7" s="16" t="s">
        <v>81</v>
      </c>
      <c r="M7" s="86" t="s">
        <v>82</v>
      </c>
      <c r="N7" s="87"/>
      <c r="O7" s="87"/>
      <c r="P7" s="88"/>
      <c r="Q7" s="89" t="s">
        <v>83</v>
      </c>
      <c r="R7" s="90"/>
      <c r="S7" s="86" t="s">
        <v>84</v>
      </c>
      <c r="T7" s="88"/>
      <c r="W7" s="16" t="s">
        <v>81</v>
      </c>
      <c r="X7" s="86" t="s">
        <v>82</v>
      </c>
      <c r="Y7" s="87"/>
      <c r="Z7" s="87"/>
      <c r="AA7" s="88"/>
      <c r="AB7" s="89" t="s">
        <v>83</v>
      </c>
      <c r="AC7" s="90"/>
      <c r="AD7" s="86" t="s">
        <v>84</v>
      </c>
      <c r="AE7" s="88"/>
    </row>
    <row r="8" spans="1:31" x14ac:dyDescent="0.25">
      <c r="A8" s="17">
        <f>IF(ISBLANK(F1),"",IF(ISERROR(VLOOKUP(F1,PAPELERIA_PAPEL_Y_LÁPIZ,8,FALSE)),"El dato no existe",VLOOKUP(F1,PAPELERIA_PAPEL_Y_LÁPIZ,8,FALSE)))</f>
        <v>35</v>
      </c>
      <c r="B8" s="99" t="str">
        <f>IF(ISBLANK(F1),"",IF(ISERROR(VLOOKUP(F1,PAPELERIA_PAPEL_Y_LÁPIZ,7,FALSE)),"El dato no existe",VLOOKUP(F1,PAPELERIA_PAPEL_Y_LÁPIZ,7,FALSE)))</f>
        <v xml:space="preserve">CAJA DE RESMAS TAMAÑO OFICIO </v>
      </c>
      <c r="C8" s="100"/>
      <c r="D8" s="100"/>
      <c r="E8" s="101"/>
      <c r="F8" s="106">
        <f>IF(ISBLANK(F1),"",IF(ISERROR(VLOOKUP(F1,PAPELERIA_PAPEL_Y_LÁPIZ,10,FALSE)),"El dato no existe",VLOOKUP(F1,PAPELERIA_PAPEL_Y_LÁPIZ,10,FALSE)))</f>
        <v>34890</v>
      </c>
      <c r="G8" s="107"/>
      <c r="H8" s="108">
        <f>IF(ISBLANK(F1),"",IF(ISERROR(VLOOKUP(F1,PAPELERIA_PAPEL_Y_LÁPIZ,11,FALSE)),"El dato no existe",VLOOKUP(F1,PAPELERIA_PAPEL_Y_LÁPIZ,11,FALSE)))</f>
        <v>1221150</v>
      </c>
      <c r="I8" s="109"/>
      <c r="L8" s="17">
        <f>IF(ISBLANK(Q1),"",IF(ISERROR(VLOOKUP(Q1,PAPELERIA_PAPEL_Y_LÁPIZ,8,FALSE)),"El dato no existe",VLOOKUP(Q1,PAPELERIA_PAPEL_Y_LÁPIZ,8,FALSE)))</f>
        <v>45</v>
      </c>
      <c r="M8" s="99" t="str">
        <f>IF(ISBLANK(Q1),"",IF(ISERROR(VLOOKUP(Q1,PAPELERIA_PAPEL_Y_LÁPIZ,7,FALSE)),"El dato no existe",VLOOKUP(Q1,PAPELERIA_PAPEL_Y_LÁPIZ,7,FALSE)))</f>
        <v>LIBRO CONTABLE</v>
      </c>
      <c r="N8" s="100"/>
      <c r="O8" s="100"/>
      <c r="P8" s="101"/>
      <c r="Q8" s="106">
        <f>IF(ISBLANK(Q1),"",IF(ISERROR(VLOOKUP(Q1,PAPELERIA_PAPEL_Y_LÁPIZ,10,FALSE)),"El dato no existe",VLOOKUP(Q1,PAPELERIA_PAPEL_Y_LÁPIZ,10,FALSE)))</f>
        <v>4500</v>
      </c>
      <c r="R8" s="107"/>
      <c r="S8" s="108">
        <f>IF(ISBLANK(Q1),"",IF(ISERROR(VLOOKUP(Q1,PAPELERIA_PAPEL_Y_LÁPIZ,11,FALSE)),"El dato no existe",VLOOKUP(Q1,PAPELERIA_PAPEL_Y_LÁPIZ,11,FALSE)))</f>
        <v>202500</v>
      </c>
      <c r="T8" s="109"/>
      <c r="W8" s="17">
        <f>IF(ISBLANK(AB1),"",IF(ISERROR(VLOOKUP(AB1,PAPELERIA_PAPEL_Y_LÁPIZ,8,FALSE)),"El dato no existe",VLOOKUP(AB1,PAPELERIA_PAPEL_Y_LÁPIZ,8,FALSE)))</f>
        <v>32</v>
      </c>
      <c r="X8" s="99" t="str">
        <f>IF(ISBLANK(AB1),"",IF(ISERROR(VLOOKUP(AB1,PAPELERIA_PAPEL_Y_LÁPIZ,7,FALSE)),"El dato no existe",VLOOKUP(AB1,PAPELERIA_PAPEL_Y_LÁPIZ,7,FALSE)))</f>
        <v>CARPETAS PARA ARCHIVO TAMAÑO OFICIO</v>
      </c>
      <c r="Y8" s="100"/>
      <c r="Z8" s="100"/>
      <c r="AA8" s="101"/>
      <c r="AB8" s="106">
        <f>IF(ISBLANK(AB1),"",IF(ISERROR(VLOOKUP(AB1,PAPELERIA_PAPEL_Y_LÁPIZ,10,FALSE)),"El dato no existe",VLOOKUP(AB1,PAPELERIA_PAPEL_Y_LÁPIZ,10,FALSE)))</f>
        <v>7100</v>
      </c>
      <c r="AC8" s="107"/>
      <c r="AD8" s="108">
        <f>IF(ISBLANK(AB1),"",IF(ISERROR(VLOOKUP(AB1,PAPELERIA_PAPEL_Y_LÁPIZ,11,FALSE)),"El dato no existe",VLOOKUP(AB1,PAPELERIA_PAPEL_Y_LÁPIZ,11,FALSE)))</f>
        <v>227200</v>
      </c>
      <c r="AE8" s="109"/>
    </row>
    <row r="9" spans="1:31" x14ac:dyDescent="0.25">
      <c r="A9" s="18"/>
      <c r="B9" s="104"/>
      <c r="C9" s="104"/>
      <c r="D9" s="104"/>
      <c r="E9" s="105"/>
      <c r="F9" s="104"/>
      <c r="G9" s="105"/>
      <c r="H9" s="104"/>
      <c r="I9" s="105"/>
      <c r="L9" s="18"/>
      <c r="M9" s="104"/>
      <c r="N9" s="104"/>
      <c r="O9" s="104"/>
      <c r="P9" s="105"/>
      <c r="Q9" s="104"/>
      <c r="R9" s="105"/>
      <c r="S9" s="104"/>
      <c r="T9" s="105"/>
      <c r="W9" s="18"/>
      <c r="X9" s="104"/>
      <c r="Y9" s="104"/>
      <c r="Z9" s="104"/>
      <c r="AA9" s="105"/>
      <c r="AB9" s="104"/>
      <c r="AC9" s="105"/>
      <c r="AD9" s="104"/>
      <c r="AE9" s="105"/>
    </row>
    <row r="10" spans="1:31" x14ac:dyDescent="0.25">
      <c r="A10" s="17"/>
      <c r="B10" s="99"/>
      <c r="C10" s="100"/>
      <c r="D10" s="100"/>
      <c r="E10" s="101"/>
      <c r="F10" s="100"/>
      <c r="G10" s="100"/>
      <c r="H10" s="99"/>
      <c r="I10" s="101"/>
      <c r="L10" s="17"/>
      <c r="M10" s="99"/>
      <c r="N10" s="100"/>
      <c r="O10" s="100"/>
      <c r="P10" s="101"/>
      <c r="Q10" s="100"/>
      <c r="R10" s="100"/>
      <c r="S10" s="99"/>
      <c r="T10" s="101"/>
      <c r="W10" s="17"/>
      <c r="X10" s="99"/>
      <c r="Y10" s="100"/>
      <c r="Z10" s="100"/>
      <c r="AA10" s="101"/>
      <c r="AB10" s="100"/>
      <c r="AC10" s="100"/>
      <c r="AD10" s="99"/>
      <c r="AE10" s="101"/>
    </row>
    <row r="11" spans="1:31" x14ac:dyDescent="0.25">
      <c r="A11" s="18"/>
      <c r="B11" s="104"/>
      <c r="C11" s="104"/>
      <c r="D11" s="104"/>
      <c r="E11" s="105"/>
      <c r="F11" s="104"/>
      <c r="G11" s="105"/>
      <c r="H11" s="104"/>
      <c r="I11" s="105"/>
      <c r="L11" s="18"/>
      <c r="M11" s="104"/>
      <c r="N11" s="104"/>
      <c r="O11" s="104"/>
      <c r="P11" s="105"/>
      <c r="Q11" s="104"/>
      <c r="R11" s="105"/>
      <c r="S11" s="104"/>
      <c r="T11" s="105"/>
      <c r="W11" s="18"/>
      <c r="X11" s="104"/>
      <c r="Y11" s="104"/>
      <c r="Z11" s="104"/>
      <c r="AA11" s="105"/>
      <c r="AB11" s="104"/>
      <c r="AC11" s="105"/>
      <c r="AD11" s="104"/>
      <c r="AE11" s="105"/>
    </row>
    <row r="12" spans="1:31" x14ac:dyDescent="0.25">
      <c r="A12" s="17"/>
      <c r="B12" s="99"/>
      <c r="C12" s="100"/>
      <c r="D12" s="100"/>
      <c r="E12" s="101"/>
      <c r="F12" s="100"/>
      <c r="G12" s="100"/>
      <c r="H12" s="99"/>
      <c r="I12" s="101"/>
      <c r="L12" s="17"/>
      <c r="M12" s="99"/>
      <c r="N12" s="100"/>
      <c r="O12" s="100"/>
      <c r="P12" s="101"/>
      <c r="Q12" s="100"/>
      <c r="R12" s="100"/>
      <c r="S12" s="99"/>
      <c r="T12" s="101"/>
      <c r="W12" s="17"/>
      <c r="X12" s="99"/>
      <c r="Y12" s="100"/>
      <c r="Z12" s="100"/>
      <c r="AA12" s="101"/>
      <c r="AB12" s="100"/>
      <c r="AC12" s="100"/>
      <c r="AD12" s="99"/>
      <c r="AE12" s="101"/>
    </row>
    <row r="13" spans="1:31" x14ac:dyDescent="0.25">
      <c r="A13" s="19"/>
      <c r="B13" s="102"/>
      <c r="C13" s="102"/>
      <c r="D13" s="102"/>
      <c r="E13" s="103"/>
      <c r="F13" s="102"/>
      <c r="G13" s="103"/>
      <c r="H13" s="102"/>
      <c r="I13" s="103"/>
      <c r="L13" s="19"/>
      <c r="M13" s="102"/>
      <c r="N13" s="102"/>
      <c r="O13" s="102"/>
      <c r="P13" s="103"/>
      <c r="Q13" s="102"/>
      <c r="R13" s="103"/>
      <c r="S13" s="102"/>
      <c r="T13" s="103"/>
      <c r="W13" s="19"/>
      <c r="X13" s="102"/>
      <c r="Y13" s="102"/>
      <c r="Z13" s="102"/>
      <c r="AA13" s="103"/>
      <c r="AB13" s="102"/>
      <c r="AC13" s="103"/>
      <c r="AD13" s="102"/>
      <c r="AE13" s="103"/>
    </row>
    <row r="14" spans="1:31" x14ac:dyDescent="0.25">
      <c r="A14" s="17"/>
      <c r="B14" s="99"/>
      <c r="C14" s="100"/>
      <c r="D14" s="100"/>
      <c r="E14" s="101"/>
      <c r="F14" s="100"/>
      <c r="G14" s="100"/>
      <c r="H14" s="99"/>
      <c r="I14" s="101"/>
      <c r="L14" s="17"/>
      <c r="M14" s="99"/>
      <c r="N14" s="100"/>
      <c r="O14" s="100"/>
      <c r="P14" s="101"/>
      <c r="Q14" s="100"/>
      <c r="R14" s="100"/>
      <c r="S14" s="99"/>
      <c r="T14" s="101"/>
      <c r="W14" s="17"/>
      <c r="X14" s="99"/>
      <c r="Y14" s="100"/>
      <c r="Z14" s="100"/>
      <c r="AA14" s="101"/>
      <c r="AB14" s="100"/>
      <c r="AC14" s="100"/>
      <c r="AD14" s="99"/>
      <c r="AE14" s="101"/>
    </row>
    <row r="15" spans="1:31" x14ac:dyDescent="0.25">
      <c r="A15" s="19"/>
      <c r="B15" s="102"/>
      <c r="C15" s="102"/>
      <c r="D15" s="102"/>
      <c r="E15" s="103"/>
      <c r="F15" s="102"/>
      <c r="G15" s="103"/>
      <c r="H15" s="102"/>
      <c r="I15" s="103"/>
      <c r="L15" s="19"/>
      <c r="M15" s="102"/>
      <c r="N15" s="102"/>
      <c r="O15" s="102"/>
      <c r="P15" s="103"/>
      <c r="Q15" s="102"/>
      <c r="R15" s="103"/>
      <c r="S15" s="102"/>
      <c r="T15" s="103"/>
      <c r="W15" s="19"/>
      <c r="X15" s="102"/>
      <c r="Y15" s="102"/>
      <c r="Z15" s="102"/>
      <c r="AA15" s="103"/>
      <c r="AB15" s="102"/>
      <c r="AC15" s="103"/>
      <c r="AD15" s="102"/>
      <c r="AE15" s="103"/>
    </row>
    <row r="16" spans="1:31" x14ac:dyDescent="0.25">
      <c r="A16" s="19"/>
      <c r="B16" s="102"/>
      <c r="C16" s="102"/>
      <c r="D16" s="102"/>
      <c r="E16" s="103"/>
      <c r="F16" s="102"/>
      <c r="G16" s="103"/>
      <c r="H16" s="102"/>
      <c r="I16" s="103"/>
      <c r="L16" s="19"/>
      <c r="M16" s="102"/>
      <c r="N16" s="102"/>
      <c r="O16" s="102"/>
      <c r="P16" s="103"/>
      <c r="Q16" s="102"/>
      <c r="R16" s="103"/>
      <c r="S16" s="102"/>
      <c r="T16" s="103"/>
      <c r="W16" s="19"/>
      <c r="X16" s="102"/>
      <c r="Y16" s="102"/>
      <c r="Z16" s="102"/>
      <c r="AA16" s="103"/>
      <c r="AB16" s="102"/>
      <c r="AC16" s="103"/>
      <c r="AD16" s="102"/>
      <c r="AE16" s="103"/>
    </row>
    <row r="17" spans="1:31" x14ac:dyDescent="0.25">
      <c r="A17" s="18"/>
      <c r="B17" s="104"/>
      <c r="C17" s="104"/>
      <c r="D17" s="104"/>
      <c r="E17" s="105"/>
      <c r="F17" s="104"/>
      <c r="G17" s="105"/>
      <c r="H17" s="104"/>
      <c r="I17" s="105"/>
      <c r="L17" s="18"/>
      <c r="M17" s="104"/>
      <c r="N17" s="104"/>
      <c r="O17" s="104"/>
      <c r="P17" s="105"/>
      <c r="Q17" s="104"/>
      <c r="R17" s="105"/>
      <c r="S17" s="104"/>
      <c r="T17" s="105"/>
      <c r="W17" s="18"/>
      <c r="X17" s="104"/>
      <c r="Y17" s="104"/>
      <c r="Z17" s="104"/>
      <c r="AA17" s="105"/>
      <c r="AB17" s="104"/>
      <c r="AC17" s="105"/>
      <c r="AD17" s="104"/>
      <c r="AE17" s="105"/>
    </row>
    <row r="18" spans="1:31" x14ac:dyDescent="0.25">
      <c r="A18" s="17"/>
      <c r="B18" s="99"/>
      <c r="C18" s="100"/>
      <c r="D18" s="100"/>
      <c r="E18" s="101"/>
      <c r="F18" s="100"/>
      <c r="G18" s="100"/>
      <c r="H18" s="99"/>
      <c r="I18" s="101"/>
      <c r="L18" s="17"/>
      <c r="M18" s="99"/>
      <c r="N18" s="100"/>
      <c r="O18" s="100"/>
      <c r="P18" s="101"/>
      <c r="Q18" s="100"/>
      <c r="R18" s="100"/>
      <c r="S18" s="99"/>
      <c r="T18" s="101"/>
      <c r="W18" s="17"/>
      <c r="X18" s="99"/>
      <c r="Y18" s="100"/>
      <c r="Z18" s="100"/>
      <c r="AA18" s="101"/>
      <c r="AB18" s="100"/>
      <c r="AC18" s="100"/>
      <c r="AD18" s="99"/>
      <c r="AE18" s="101"/>
    </row>
    <row r="19" spans="1:31" x14ac:dyDescent="0.25">
      <c r="A19" s="19"/>
      <c r="B19" s="102"/>
      <c r="C19" s="102"/>
      <c r="D19" s="102"/>
      <c r="E19" s="103"/>
      <c r="F19" s="102"/>
      <c r="G19" s="103"/>
      <c r="H19" s="102"/>
      <c r="I19" s="103"/>
      <c r="L19" s="19"/>
      <c r="M19" s="102"/>
      <c r="N19" s="102"/>
      <c r="O19" s="102"/>
      <c r="P19" s="103"/>
      <c r="Q19" s="102"/>
      <c r="R19" s="103"/>
      <c r="S19" s="102"/>
      <c r="T19" s="103"/>
      <c r="W19" s="19"/>
      <c r="X19" s="102"/>
      <c r="Y19" s="102"/>
      <c r="Z19" s="102"/>
      <c r="AA19" s="103"/>
      <c r="AB19" s="102"/>
      <c r="AC19" s="103"/>
      <c r="AD19" s="102"/>
      <c r="AE19" s="103"/>
    </row>
    <row r="20" spans="1:31" x14ac:dyDescent="0.25">
      <c r="A20" s="19"/>
      <c r="B20" s="102"/>
      <c r="C20" s="102"/>
      <c r="D20" s="102"/>
      <c r="E20" s="103"/>
      <c r="F20" s="102"/>
      <c r="G20" s="103"/>
      <c r="H20" s="102"/>
      <c r="I20" s="103"/>
      <c r="L20" s="19"/>
      <c r="M20" s="102"/>
      <c r="N20" s="102"/>
      <c r="O20" s="102"/>
      <c r="P20" s="103"/>
      <c r="Q20" s="102"/>
      <c r="R20" s="103"/>
      <c r="S20" s="102"/>
      <c r="T20" s="103"/>
      <c r="W20" s="19"/>
      <c r="X20" s="102"/>
      <c r="Y20" s="102"/>
      <c r="Z20" s="102"/>
      <c r="AA20" s="103"/>
      <c r="AB20" s="102"/>
      <c r="AC20" s="103"/>
      <c r="AD20" s="102"/>
      <c r="AE20" s="103"/>
    </row>
    <row r="21" spans="1:31" x14ac:dyDescent="0.25">
      <c r="A21" s="19"/>
      <c r="B21" s="102"/>
      <c r="C21" s="102"/>
      <c r="D21" s="102"/>
      <c r="E21" s="103"/>
      <c r="F21" s="102"/>
      <c r="G21" s="103"/>
      <c r="H21" s="102"/>
      <c r="I21" s="103"/>
      <c r="L21" s="19"/>
      <c r="M21" s="102"/>
      <c r="N21" s="102"/>
      <c r="O21" s="102"/>
      <c r="P21" s="103"/>
      <c r="Q21" s="102"/>
      <c r="R21" s="103"/>
      <c r="S21" s="102"/>
      <c r="T21" s="103"/>
      <c r="W21" s="19"/>
      <c r="X21" s="102"/>
      <c r="Y21" s="102"/>
      <c r="Z21" s="102"/>
      <c r="AA21" s="103"/>
      <c r="AB21" s="102"/>
      <c r="AC21" s="103"/>
      <c r="AD21" s="102"/>
      <c r="AE21" s="103"/>
    </row>
    <row r="22" spans="1:31" x14ac:dyDescent="0.25">
      <c r="A22" s="19"/>
      <c r="B22" s="102"/>
      <c r="C22" s="102"/>
      <c r="D22" s="102"/>
      <c r="E22" s="103"/>
      <c r="F22" s="102"/>
      <c r="G22" s="103"/>
      <c r="H22" s="102"/>
      <c r="I22" s="103"/>
      <c r="L22" s="19"/>
      <c r="M22" s="102"/>
      <c r="N22" s="102"/>
      <c r="O22" s="102"/>
      <c r="P22" s="103"/>
      <c r="Q22" s="102"/>
      <c r="R22" s="103"/>
      <c r="S22" s="102"/>
      <c r="T22" s="103"/>
      <c r="W22" s="19"/>
      <c r="X22" s="102"/>
      <c r="Y22" s="102"/>
      <c r="Z22" s="102"/>
      <c r="AA22" s="103"/>
      <c r="AB22" s="102"/>
      <c r="AC22" s="103"/>
      <c r="AD22" s="102"/>
      <c r="AE22" s="103"/>
    </row>
    <row r="23" spans="1:31" x14ac:dyDescent="0.25">
      <c r="A23" s="19"/>
      <c r="B23" s="102"/>
      <c r="C23" s="102"/>
      <c r="D23" s="102"/>
      <c r="E23" s="103"/>
      <c r="F23" s="102"/>
      <c r="G23" s="103"/>
      <c r="H23" s="102"/>
      <c r="I23" s="147"/>
      <c r="L23" s="19"/>
      <c r="M23" s="102"/>
      <c r="N23" s="102"/>
      <c r="O23" s="102"/>
      <c r="P23" s="103"/>
      <c r="Q23" s="102"/>
      <c r="R23" s="103"/>
      <c r="S23" s="102"/>
      <c r="T23" s="147"/>
      <c r="W23" s="19"/>
      <c r="X23" s="102"/>
      <c r="Y23" s="102"/>
      <c r="Z23" s="102"/>
      <c r="AA23" s="103"/>
      <c r="AB23" s="102"/>
      <c r="AC23" s="103"/>
      <c r="AD23" s="102"/>
      <c r="AE23" s="147"/>
    </row>
    <row r="24" spans="1:31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L24" s="129"/>
      <c r="M24" s="129"/>
      <c r="N24" s="129"/>
      <c r="O24" s="129"/>
      <c r="P24" s="129"/>
      <c r="Q24" s="129"/>
      <c r="R24" s="129"/>
      <c r="S24" s="129"/>
      <c r="T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x14ac:dyDescent="0.25">
      <c r="A25" s="130" t="s">
        <v>85</v>
      </c>
      <c r="B25" s="131"/>
      <c r="C25" s="136" t="s">
        <v>86</v>
      </c>
      <c r="D25" s="137"/>
      <c r="E25" s="56" t="s">
        <v>164</v>
      </c>
      <c r="F25" s="145">
        <f>IF(ISBLANK(F1),"",IF(ISERROR(VLOOKUP(F1,PAPELERIA_PAPEL_Y_LÁPIZ,13,FALSE)),"El dato no existe",VLOOKUP(F1,PAPELERIA_PAPEL_Y_LÁPIZ,13,FALSE)))</f>
        <v>1160092.5</v>
      </c>
      <c r="G25" s="145"/>
      <c r="H25" s="145"/>
      <c r="I25" s="146"/>
      <c r="L25" s="130" t="s">
        <v>85</v>
      </c>
      <c r="M25" s="131"/>
      <c r="N25" s="136" t="s">
        <v>86</v>
      </c>
      <c r="O25" s="137"/>
      <c r="P25" s="56" t="s">
        <v>164</v>
      </c>
      <c r="Q25" s="145">
        <f>IF(ISBLANK(Q1),"",IF(ISERROR(VLOOKUP(Q1,PAPELERIA_PAPEL_Y_LÁPIZ,13,FALSE)),"El dato no existe",VLOOKUP(Q1,PAPELERIA_PAPEL_Y_LÁPIZ,13,FALSE)))</f>
        <v>192375</v>
      </c>
      <c r="R25" s="145"/>
      <c r="S25" s="145"/>
      <c r="T25" s="146"/>
      <c r="W25" s="130" t="s">
        <v>85</v>
      </c>
      <c r="X25" s="131"/>
      <c r="Y25" s="136" t="s">
        <v>86</v>
      </c>
      <c r="Z25" s="137"/>
      <c r="AA25" s="56" t="s">
        <v>164</v>
      </c>
      <c r="AB25" s="145">
        <f>IF(ISBLANK(AB1),"",IF(ISERROR(VLOOKUP(AB1,PAPELERIA_PAPEL_Y_LÁPIZ,13,FALSE)),"El dato no existe",VLOOKUP(AB1,PAPELERIA_PAPEL_Y_LÁPIZ,13,FALSE)))</f>
        <v>215840</v>
      </c>
      <c r="AC25" s="145"/>
      <c r="AD25" s="145"/>
      <c r="AE25" s="146"/>
    </row>
    <row r="26" spans="1:31" x14ac:dyDescent="0.25">
      <c r="A26" s="132"/>
      <c r="B26" s="133"/>
      <c r="C26" s="138"/>
      <c r="D26" s="139"/>
      <c r="E26" s="140"/>
      <c r="F26" s="141"/>
      <c r="G26" s="141"/>
      <c r="H26" s="141"/>
      <c r="I26" s="142"/>
      <c r="L26" s="132"/>
      <c r="M26" s="133"/>
      <c r="N26" s="138"/>
      <c r="O26" s="139"/>
      <c r="P26" s="140"/>
      <c r="Q26" s="141"/>
      <c r="R26" s="141"/>
      <c r="S26" s="141"/>
      <c r="T26" s="142"/>
      <c r="W26" s="132"/>
      <c r="X26" s="133"/>
      <c r="Y26" s="138"/>
      <c r="Z26" s="139"/>
      <c r="AA26" s="140"/>
      <c r="AB26" s="141"/>
      <c r="AC26" s="141"/>
      <c r="AD26" s="141"/>
      <c r="AE26" s="142"/>
    </row>
    <row r="27" spans="1:31" ht="22.5" customHeight="1" x14ac:dyDescent="0.25">
      <c r="A27" s="134"/>
      <c r="B27" s="135"/>
      <c r="C27" s="143" t="s">
        <v>87</v>
      </c>
      <c r="D27" s="144"/>
      <c r="E27" s="56"/>
      <c r="F27" s="145">
        <f>IF(ISBLANK(F1),"",IF(ISERROR(VLOOKUP(F1,PAPELERIA_PAPEL_Y_LÁPIZ,16,FALSE)),"El dato no existe",VLOOKUP(F1,PAPELERIA_PAPEL_Y_LÁPIZ,16,FALSE)))</f>
        <v>1380510.075</v>
      </c>
      <c r="G27" s="145"/>
      <c r="H27" s="145"/>
      <c r="I27" s="146"/>
      <c r="L27" s="134"/>
      <c r="M27" s="135"/>
      <c r="N27" s="143" t="s">
        <v>87</v>
      </c>
      <c r="O27" s="144"/>
      <c r="P27" s="56"/>
      <c r="Q27" s="145">
        <f>IF(ISBLANK(Q1),"",IF(ISERROR(VLOOKUP(Q1,PAPELERIA_PAPEL_Y_LÁPIZ,16,FALSE)),"El dato no existe",VLOOKUP(Q1,PAPELERIA_PAPEL_Y_LÁPIZ,16,FALSE)))</f>
        <v>222193.125</v>
      </c>
      <c r="R27" s="145"/>
      <c r="S27" s="145"/>
      <c r="T27" s="146"/>
      <c r="W27" s="134"/>
      <c r="X27" s="135"/>
      <c r="Y27" s="143" t="s">
        <v>87</v>
      </c>
      <c r="Z27" s="144"/>
      <c r="AA27" s="56"/>
      <c r="AB27" s="145">
        <f>IF(ISBLANK(AB1),"",IF(ISERROR(VLOOKUP(AB1,PAPELERIA_PAPEL_Y_LÁPIZ,16,FALSE)),"El dato no existe",VLOOKUP(AB1,PAPELERIA_PAPEL_Y_LÁPIZ,16,FALSE)))</f>
        <v>249295.2</v>
      </c>
      <c r="AC27" s="145"/>
      <c r="AD27" s="145"/>
      <c r="AE27" s="146"/>
    </row>
    <row r="30" spans="1:31" x14ac:dyDescent="0.25">
      <c r="A30" s="110" t="s">
        <v>96</v>
      </c>
      <c r="B30" s="111"/>
      <c r="C30" s="111"/>
      <c r="D30" s="112"/>
      <c r="E30" s="116" t="s">
        <v>78</v>
      </c>
      <c r="F30" s="118">
        <v>702</v>
      </c>
      <c r="G30" s="118"/>
      <c r="H30" s="118"/>
      <c r="I30" s="118"/>
      <c r="L30" s="110" t="s">
        <v>96</v>
      </c>
      <c r="M30" s="111"/>
      <c r="N30" s="111"/>
      <c r="O30" s="112"/>
      <c r="P30" s="116" t="s">
        <v>78</v>
      </c>
      <c r="Q30" s="118">
        <v>712</v>
      </c>
      <c r="R30" s="118"/>
      <c r="S30" s="118"/>
      <c r="T30" s="118"/>
      <c r="W30" s="110" t="s">
        <v>96</v>
      </c>
      <c r="X30" s="111"/>
      <c r="Y30" s="111"/>
      <c r="Z30" s="112"/>
      <c r="AA30" s="116" t="s">
        <v>78</v>
      </c>
      <c r="AB30" s="118">
        <v>722</v>
      </c>
      <c r="AC30" s="118"/>
      <c r="AD30" s="118"/>
      <c r="AE30" s="118"/>
    </row>
    <row r="31" spans="1:31" x14ac:dyDescent="0.25">
      <c r="A31" s="113"/>
      <c r="B31" s="114"/>
      <c r="C31" s="114"/>
      <c r="D31" s="115"/>
      <c r="E31" s="117"/>
      <c r="F31" s="118"/>
      <c r="G31" s="118"/>
      <c r="H31" s="118"/>
      <c r="I31" s="118"/>
      <c r="L31" s="113"/>
      <c r="M31" s="114"/>
      <c r="N31" s="114"/>
      <c r="O31" s="115"/>
      <c r="P31" s="117"/>
      <c r="Q31" s="118"/>
      <c r="R31" s="118"/>
      <c r="S31" s="118"/>
      <c r="T31" s="118"/>
      <c r="W31" s="113"/>
      <c r="X31" s="114"/>
      <c r="Y31" s="114"/>
      <c r="Z31" s="115"/>
      <c r="AA31" s="117"/>
      <c r="AB31" s="118"/>
      <c r="AC31" s="118"/>
      <c r="AD31" s="118"/>
      <c r="AE31" s="118"/>
    </row>
    <row r="32" spans="1:31" x14ac:dyDescent="0.25">
      <c r="A32" s="119" t="s">
        <v>3</v>
      </c>
      <c r="B32" s="121" t="str">
        <f>IF(ISBLANK(F30),"",IF(ISERROR(VLOOKUP(F30,PAPELERIA_PAPEL_Y_LÁPIZ,3,FALSE)),"El dato no existe",VLOOKUP(F30,PAPELERIA_PAPEL_Y_LÁPIZ,3,FALSE)))</f>
        <v xml:space="preserve">CORPORACION CENTRO TÉCNICO ARQUITETÓNICO </v>
      </c>
      <c r="C32" s="121"/>
      <c r="D32" s="121"/>
      <c r="E32" s="122"/>
      <c r="F32" s="125" t="s">
        <v>79</v>
      </c>
      <c r="G32" s="125"/>
      <c r="H32" s="125"/>
      <c r="I32" s="126"/>
      <c r="L32" s="119" t="s">
        <v>3</v>
      </c>
      <c r="M32" s="121" t="str">
        <f>IF(ISBLANK(Q30),"",IF(ISERROR(VLOOKUP(Q30,PAPELERIA_PAPEL_Y_LÁPIZ,3,FALSE)),"El dato no existe",VLOOKUP(Q30,PAPELERIA_PAPEL_Y_LÁPIZ,3,FALSE)))</f>
        <v>UNIVERSIDAD NACIONAL</v>
      </c>
      <c r="N32" s="121"/>
      <c r="O32" s="121"/>
      <c r="P32" s="122"/>
      <c r="Q32" s="125" t="s">
        <v>79</v>
      </c>
      <c r="R32" s="125"/>
      <c r="S32" s="125"/>
      <c r="T32" s="126"/>
      <c r="W32" s="119" t="s">
        <v>3</v>
      </c>
      <c r="X32" s="121" t="str">
        <f>IF(ISBLANK(AB30),"",IF(ISERROR(VLOOKUP(AB30,PAPELERIA_PAPEL_Y_LÁPIZ,3,FALSE)),"El dato no existe",VLOOKUP(AB30,PAPELERIA_PAPEL_Y_LÁPIZ,3,FALSE)))</f>
        <v>UNIVERSIDAD ANTIONIO JOSÉ</v>
      </c>
      <c r="Y32" s="121"/>
      <c r="Z32" s="121"/>
      <c r="AA32" s="122"/>
      <c r="AB32" s="125" t="s">
        <v>79</v>
      </c>
      <c r="AC32" s="125"/>
      <c r="AD32" s="125"/>
      <c r="AE32" s="126"/>
    </row>
    <row r="33" spans="1:31" x14ac:dyDescent="0.25">
      <c r="A33" s="120"/>
      <c r="B33" s="123"/>
      <c r="C33" s="123"/>
      <c r="D33" s="123"/>
      <c r="E33" s="124"/>
      <c r="F33" s="127">
        <v>26</v>
      </c>
      <c r="G33" s="128"/>
      <c r="H33" s="30">
        <v>11</v>
      </c>
      <c r="I33" s="28">
        <v>2018</v>
      </c>
      <c r="L33" s="120"/>
      <c r="M33" s="123"/>
      <c r="N33" s="123"/>
      <c r="O33" s="123"/>
      <c r="P33" s="124"/>
      <c r="Q33" s="127">
        <v>26</v>
      </c>
      <c r="R33" s="128"/>
      <c r="S33" s="30">
        <v>11</v>
      </c>
      <c r="T33" s="28">
        <v>2018</v>
      </c>
      <c r="W33" s="120"/>
      <c r="X33" s="123"/>
      <c r="Y33" s="123"/>
      <c r="Z33" s="123"/>
      <c r="AA33" s="124"/>
      <c r="AB33" s="127">
        <v>26</v>
      </c>
      <c r="AC33" s="128"/>
      <c r="AD33" s="30">
        <v>11</v>
      </c>
      <c r="AE33" s="28">
        <v>2018</v>
      </c>
    </row>
    <row r="34" spans="1:31" x14ac:dyDescent="0.25">
      <c r="A34" s="29" t="s">
        <v>95</v>
      </c>
      <c r="B34" s="94" t="str">
        <f>IF(ISBLANK(F30),"",IF(ISERROR(VLOOKUP(F30,PAPELERIA_PAPEL_Y_LÁPIZ,2,FALSE)),"El dato no existe",VLOOKUP(F30,PAPELERIA_PAPEL_Y_LÁPIZ,2,FALSE)))</f>
        <v>890480054-5</v>
      </c>
      <c r="C34" s="95"/>
      <c r="D34" s="29" t="s">
        <v>94</v>
      </c>
      <c r="E34" s="93" t="str">
        <f>IF(ISBLANK(F30),"",IF(ISERROR(VLOOKUP(F30,PAPELERIA_PAPEL_Y_LÁPIZ,5,FALSE)),"El dato no existe",VLOOKUP(F30,PAPELERIA_PAPEL_Y_LÁPIZ,5,FALSE)))</f>
        <v>Avda 30 de Agosto N° 52-236</v>
      </c>
      <c r="F34" s="93"/>
      <c r="G34" s="93"/>
      <c r="H34" s="93"/>
      <c r="I34" s="93"/>
      <c r="L34" s="29" t="s">
        <v>95</v>
      </c>
      <c r="M34" s="94" t="str">
        <f>IF(ISBLANK(Q30),"",IF(ISERROR(VLOOKUP(Q30,PAPELERIA_PAPEL_Y_LÁPIZ,2,FALSE)),"El dato no existe",VLOOKUP(Q30,PAPELERIA_PAPEL_Y_LÁPIZ,2,FALSE)))</f>
        <v>860401734-9</v>
      </c>
      <c r="N34" s="95"/>
      <c r="O34" s="29" t="s">
        <v>94</v>
      </c>
      <c r="P34" s="93" t="str">
        <f>IF(ISBLANK(Q30),"",IF(ISERROR(VLOOKUP(Q30,PAPELERIA_PAPEL_Y_LÁPIZ,5,FALSE)),"El dato no existe",VLOOKUP(Q30,PAPELERIA_PAPEL_Y_LÁPIZ,5,FALSE)))</f>
        <v>Calle 48 N° 50-30</v>
      </c>
      <c r="Q34" s="93"/>
      <c r="R34" s="93"/>
      <c r="S34" s="93"/>
      <c r="T34" s="93"/>
      <c r="W34" s="29" t="s">
        <v>95</v>
      </c>
      <c r="X34" s="94" t="str">
        <f>IF(ISBLANK(AB30),"",IF(ISERROR(VLOOKUP(AB30,PAPELERIA_PAPEL_Y_LÁPIZ,2,FALSE)),"El dato no existe",VLOOKUP(AB30,PAPELERIA_PAPEL_Y_LÁPIZ,2,FALSE)))</f>
        <v>890982134-3</v>
      </c>
      <c r="Y34" s="95"/>
      <c r="Z34" s="29" t="s">
        <v>94</v>
      </c>
      <c r="AA34" s="93" t="str">
        <f>IF(ISBLANK(AB30),"",IF(ISERROR(VLOOKUP(AB30,PAPELERIA_PAPEL_Y_LÁPIZ,5,FALSE)),"El dato no existe",VLOOKUP(AB30,PAPELERIA_PAPEL_Y_LÁPIZ,5,FALSE)))</f>
        <v>Calle 27 N° 21-49</v>
      </c>
      <c r="AB34" s="93"/>
      <c r="AC34" s="93"/>
      <c r="AD34" s="93"/>
      <c r="AE34" s="93"/>
    </row>
    <row r="35" spans="1:31" x14ac:dyDescent="0.25">
      <c r="A35" s="31" t="s">
        <v>80</v>
      </c>
      <c r="B35" s="94">
        <f>IF(ISBLANK(F30),"",IF(ISERROR(VLOOKUP(F30,PAPELERIA_PAPEL_Y_LÁPIZ,4,FALSE)),"El dato no existe",VLOOKUP(F30,PAPELERIA_PAPEL_Y_LÁPIZ,4,FALSE)))</f>
        <v>3293333</v>
      </c>
      <c r="C35" s="95"/>
      <c r="D35" s="91" t="s">
        <v>91</v>
      </c>
      <c r="E35" s="92"/>
      <c r="F35" s="96" t="str">
        <f>IF(ISBLANK(F30),"",IF(ISERROR(VLOOKUP(F30,PAPELERIA_PAPEL_Y_LÁPIZ,17,FALSE)),"El dato no existe",VLOOKUP(F30,PAPELERIA_PAPEL_Y_LÁPIZ,17,FALSE)))</f>
        <v>CONTADO</v>
      </c>
      <c r="G35" s="97"/>
      <c r="H35" s="97"/>
      <c r="I35" s="98"/>
      <c r="L35" s="31" t="s">
        <v>80</v>
      </c>
      <c r="M35" s="94">
        <f>IF(ISBLANK(Q30),"",IF(ISERROR(VLOOKUP(Q30,PAPELERIA_PAPEL_Y_LÁPIZ,4,FALSE)),"El dato no existe",VLOOKUP(Q30,PAPELERIA_PAPEL_Y_LÁPIZ,4,FALSE)))</f>
        <v>4500040</v>
      </c>
      <c r="N35" s="95"/>
      <c r="O35" s="91" t="s">
        <v>91</v>
      </c>
      <c r="P35" s="92"/>
      <c r="Q35" s="96" t="str">
        <f>IF(ISBLANK(Q30),"",IF(ISERROR(VLOOKUP(Q30,PAPELERIA_PAPEL_Y_LÁPIZ,17,FALSE)),"El dato no existe",VLOOKUP(Q30,PAPELERIA_PAPEL_Y_LÁPIZ,17,FALSE)))</f>
        <v>CONTADO</v>
      </c>
      <c r="R35" s="97"/>
      <c r="S35" s="97"/>
      <c r="T35" s="98"/>
      <c r="W35" s="31" t="s">
        <v>80</v>
      </c>
      <c r="X35" s="94">
        <f>IF(ISBLANK(AB30),"",IF(ISERROR(VLOOKUP(AB30,PAPELERIA_PAPEL_Y_LÁPIZ,4,FALSE)),"El dato no existe",VLOOKUP(AB30,PAPELERIA_PAPEL_Y_LÁPIZ,4,FALSE)))</f>
        <v>2812282</v>
      </c>
      <c r="Y35" s="95"/>
      <c r="Z35" s="91" t="s">
        <v>91</v>
      </c>
      <c r="AA35" s="92"/>
      <c r="AB35" s="96" t="str">
        <f>IF(ISBLANK(AB30),"",IF(ISERROR(VLOOKUP(AB30,PAPELERIA_PAPEL_Y_LÁPIZ,17,FALSE)),"El dato no existe",VLOOKUP(AB30,PAPELERIA_PAPEL_Y_LÁPIZ,17,FALSE)))</f>
        <v>CONTADO</v>
      </c>
      <c r="AC35" s="97"/>
      <c r="AD35" s="97"/>
      <c r="AE35" s="98"/>
    </row>
    <row r="36" spans="1:31" x14ac:dyDescent="0.25">
      <c r="A36" s="16" t="s">
        <v>81</v>
      </c>
      <c r="B36" s="86" t="s">
        <v>82</v>
      </c>
      <c r="C36" s="87"/>
      <c r="D36" s="87"/>
      <c r="E36" s="88"/>
      <c r="F36" s="89" t="s">
        <v>83</v>
      </c>
      <c r="G36" s="90"/>
      <c r="H36" s="86" t="s">
        <v>84</v>
      </c>
      <c r="I36" s="88"/>
      <c r="L36" s="16" t="s">
        <v>81</v>
      </c>
      <c r="M36" s="86" t="s">
        <v>82</v>
      </c>
      <c r="N36" s="87"/>
      <c r="O36" s="87"/>
      <c r="P36" s="88"/>
      <c r="Q36" s="89" t="s">
        <v>83</v>
      </c>
      <c r="R36" s="90"/>
      <c r="S36" s="86" t="s">
        <v>84</v>
      </c>
      <c r="T36" s="88"/>
      <c r="W36" s="16" t="s">
        <v>81</v>
      </c>
      <c r="X36" s="86" t="s">
        <v>82</v>
      </c>
      <c r="Y36" s="87"/>
      <c r="Z36" s="87"/>
      <c r="AA36" s="88"/>
      <c r="AB36" s="89" t="s">
        <v>83</v>
      </c>
      <c r="AC36" s="90"/>
      <c r="AD36" s="86" t="s">
        <v>84</v>
      </c>
      <c r="AE36" s="88"/>
    </row>
    <row r="37" spans="1:31" x14ac:dyDescent="0.25">
      <c r="A37" s="17">
        <f>IF(ISBLANK(F30),"",IF(ISERROR(VLOOKUP(F30,PAPELERIA_PAPEL_Y_LÁPIZ,8,FALSE)),"El dato no existe",VLOOKUP(F30,PAPELERIA_PAPEL_Y_LÁPIZ,8,FALSE)))</f>
        <v>20</v>
      </c>
      <c r="B37" s="99" t="str">
        <f>IF(ISBLANK(F30),"",IF(ISERROR(VLOOKUP(F30,PAPELERIA_PAPEL_Y_LÁPIZ,7,FALSE)),"El dato no existe",VLOOKUP(F30,PAPELERIA_PAPEL_Y_LÁPIZ,7,FALSE)))</f>
        <v xml:space="preserve">CAJA DE RESMAS TAMAÑO CARTA X 15 </v>
      </c>
      <c r="C37" s="100"/>
      <c r="D37" s="100"/>
      <c r="E37" s="101"/>
      <c r="F37" s="106">
        <f>IF(ISBLANK(F30),"",IF(ISERROR(VLOOKUP(F30,PAPELERIA_PAPEL_Y_LÁPIZ,10,FALSE)),"El dato no existe",VLOOKUP(F30,PAPELERIA_PAPEL_Y_LÁPIZ,10,FALSE)))</f>
        <v>25678</v>
      </c>
      <c r="G37" s="107"/>
      <c r="H37" s="108">
        <f>IF(ISBLANK(F30),"",IF(ISERROR(VLOOKUP(F30,PAPELERIA_PAPEL_Y_LÁPIZ,11,FALSE)),"El dato no existe",VLOOKUP(F30,PAPELERIA_PAPEL_Y_LÁPIZ,11,FALSE)))</f>
        <v>513560</v>
      </c>
      <c r="I37" s="109"/>
      <c r="L37" s="17">
        <f>IF(ISBLANK(Q30),"",IF(ISERROR(VLOOKUP(Q30,PAPELERIA_PAPEL_Y_LÁPIZ,8,FALSE)),"El dato no existe",VLOOKUP(Q30,PAPELERIA_PAPEL_Y_LÁPIZ,8,FALSE)))</f>
        <v>42</v>
      </c>
      <c r="M37" s="99" t="str">
        <f>IF(ISBLANK(Q30),"",IF(ISERROR(VLOOKUP(Q30,PAPELERIA_PAPEL_Y_LÁPIZ,7,FALSE)),"El dato no existe",VLOOKUP(Q30,PAPELERIA_PAPEL_Y_LÁPIZ,7,FALSE)))</f>
        <v>ROLLOS PARA IMPRESORA DE CAJA X 6 U.</v>
      </c>
      <c r="N37" s="100"/>
      <c r="O37" s="100"/>
      <c r="P37" s="101"/>
      <c r="Q37" s="106">
        <f>IF(ISBLANK(Q30),"",IF(ISERROR(VLOOKUP(Q30,PAPELERIA_PAPEL_Y_LÁPIZ,10,FALSE)),"El dato no existe",VLOOKUP(Q30,PAPELERIA_PAPEL_Y_LÁPIZ,10,FALSE)))</f>
        <v>7654</v>
      </c>
      <c r="R37" s="107"/>
      <c r="S37" s="108">
        <f>IF(ISBLANK(Q30),"",IF(ISERROR(VLOOKUP(Q30,PAPELERIA_PAPEL_Y_LÁPIZ,11,FALSE)),"El dato no existe",VLOOKUP(Q30,PAPELERIA_PAPEL_Y_LÁPIZ,11,FALSE)))</f>
        <v>321468</v>
      </c>
      <c r="T37" s="109"/>
      <c r="W37" s="17">
        <f>IF(ISBLANK(AB30),"",IF(ISERROR(VLOOKUP(AB30,PAPELERIA_PAPEL_Y_LÁPIZ,8,FALSE)),"El dato no existe",VLOOKUP(AB30,PAPELERIA_PAPEL_Y_LÁPIZ,8,FALSE)))</f>
        <v>24</v>
      </c>
      <c r="X37" s="99" t="str">
        <f>IF(ISBLANK(AB30),"",IF(ISERROR(VLOOKUP(AB30,PAPELERIA_PAPEL_Y_LÁPIZ,7,FALSE)),"El dato no existe",VLOOKUP(AB30,PAPELERIA_PAPEL_Y_LÁPIZ,7,FALSE)))</f>
        <v>CARPETAS PARA ARCHIVO TAMAÑO CARTA</v>
      </c>
      <c r="Y37" s="100"/>
      <c r="Z37" s="100"/>
      <c r="AA37" s="101"/>
      <c r="AB37" s="106">
        <f>IF(ISBLANK(AB30),"",IF(ISERROR(VLOOKUP(AB30,PAPELERIA_PAPEL_Y_LÁPIZ,10,FALSE)),"El dato no existe",VLOOKUP(AB30,PAPELERIA_PAPEL_Y_LÁPIZ,10,FALSE)))</f>
        <v>4500</v>
      </c>
      <c r="AC37" s="107"/>
      <c r="AD37" s="108">
        <f>IF(ISBLANK(AB30),"",IF(ISERROR(VLOOKUP(AB30,PAPELERIA_PAPEL_Y_LÁPIZ,11,FALSE)),"El dato no existe",VLOOKUP(AB30,PAPELERIA_PAPEL_Y_LÁPIZ,11,FALSE)))</f>
        <v>108000</v>
      </c>
      <c r="AE37" s="109"/>
    </row>
    <row r="38" spans="1:31" x14ac:dyDescent="0.25">
      <c r="A38" s="18"/>
      <c r="B38" s="104"/>
      <c r="C38" s="104"/>
      <c r="D38" s="104"/>
      <c r="E38" s="105"/>
      <c r="F38" s="104"/>
      <c r="G38" s="105"/>
      <c r="H38" s="104"/>
      <c r="I38" s="105"/>
      <c r="L38" s="18"/>
      <c r="M38" s="104"/>
      <c r="N38" s="104"/>
      <c r="O38" s="104"/>
      <c r="P38" s="105"/>
      <c r="Q38" s="104"/>
      <c r="R38" s="105"/>
      <c r="S38" s="104"/>
      <c r="T38" s="105"/>
      <c r="W38" s="18"/>
      <c r="X38" s="104"/>
      <c r="Y38" s="104"/>
      <c r="Z38" s="104"/>
      <c r="AA38" s="105"/>
      <c r="AB38" s="104"/>
      <c r="AC38" s="105"/>
      <c r="AD38" s="104"/>
      <c r="AE38" s="105"/>
    </row>
    <row r="39" spans="1:31" x14ac:dyDescent="0.25">
      <c r="A39" s="17"/>
      <c r="B39" s="99"/>
      <c r="C39" s="100"/>
      <c r="D39" s="100"/>
      <c r="E39" s="101"/>
      <c r="F39" s="100"/>
      <c r="G39" s="100"/>
      <c r="H39" s="99"/>
      <c r="I39" s="101"/>
      <c r="L39" s="17"/>
      <c r="M39" s="99"/>
      <c r="N39" s="100"/>
      <c r="O39" s="100"/>
      <c r="P39" s="101"/>
      <c r="Q39" s="100"/>
      <c r="R39" s="100"/>
      <c r="S39" s="99"/>
      <c r="T39" s="101"/>
      <c r="W39" s="17"/>
      <c r="X39" s="99"/>
      <c r="Y39" s="100"/>
      <c r="Z39" s="100"/>
      <c r="AA39" s="101"/>
      <c r="AB39" s="100"/>
      <c r="AC39" s="100"/>
      <c r="AD39" s="99"/>
      <c r="AE39" s="101"/>
    </row>
    <row r="40" spans="1:31" x14ac:dyDescent="0.25">
      <c r="A40" s="18"/>
      <c r="B40" s="104"/>
      <c r="C40" s="104"/>
      <c r="D40" s="104"/>
      <c r="E40" s="105"/>
      <c r="F40" s="104"/>
      <c r="G40" s="105"/>
      <c r="H40" s="104"/>
      <c r="I40" s="105"/>
      <c r="L40" s="18"/>
      <c r="M40" s="104"/>
      <c r="N40" s="104"/>
      <c r="O40" s="104"/>
      <c r="P40" s="105"/>
      <c r="Q40" s="104"/>
      <c r="R40" s="105"/>
      <c r="S40" s="104"/>
      <c r="T40" s="105"/>
      <c r="W40" s="18"/>
      <c r="X40" s="104"/>
      <c r="Y40" s="104"/>
      <c r="Z40" s="104"/>
      <c r="AA40" s="105"/>
      <c r="AB40" s="104"/>
      <c r="AC40" s="105"/>
      <c r="AD40" s="104"/>
      <c r="AE40" s="105"/>
    </row>
    <row r="41" spans="1:31" x14ac:dyDescent="0.25">
      <c r="A41" s="17"/>
      <c r="B41" s="99"/>
      <c r="C41" s="100"/>
      <c r="D41" s="100"/>
      <c r="E41" s="101"/>
      <c r="F41" s="100"/>
      <c r="G41" s="100"/>
      <c r="H41" s="99"/>
      <c r="I41" s="101"/>
      <c r="L41" s="17"/>
      <c r="M41" s="99"/>
      <c r="N41" s="100"/>
      <c r="O41" s="100"/>
      <c r="P41" s="101"/>
      <c r="Q41" s="100"/>
      <c r="R41" s="100"/>
      <c r="S41" s="99"/>
      <c r="T41" s="101"/>
      <c r="W41" s="17"/>
      <c r="X41" s="99"/>
      <c r="Y41" s="100"/>
      <c r="Z41" s="100"/>
      <c r="AA41" s="101"/>
      <c r="AB41" s="100"/>
      <c r="AC41" s="100"/>
      <c r="AD41" s="99"/>
      <c r="AE41" s="101"/>
    </row>
    <row r="42" spans="1:31" x14ac:dyDescent="0.25">
      <c r="A42" s="19"/>
      <c r="B42" s="102"/>
      <c r="C42" s="102"/>
      <c r="D42" s="102"/>
      <c r="E42" s="103"/>
      <c r="F42" s="102"/>
      <c r="G42" s="103"/>
      <c r="H42" s="102"/>
      <c r="I42" s="103"/>
      <c r="L42" s="19"/>
      <c r="M42" s="102"/>
      <c r="N42" s="102"/>
      <c r="O42" s="102"/>
      <c r="P42" s="103"/>
      <c r="Q42" s="102"/>
      <c r="R42" s="103"/>
      <c r="S42" s="102"/>
      <c r="T42" s="103"/>
      <c r="W42" s="19"/>
      <c r="X42" s="102"/>
      <c r="Y42" s="102"/>
      <c r="Z42" s="102"/>
      <c r="AA42" s="103"/>
      <c r="AB42" s="102"/>
      <c r="AC42" s="103"/>
      <c r="AD42" s="102"/>
      <c r="AE42" s="103"/>
    </row>
    <row r="43" spans="1:31" x14ac:dyDescent="0.25">
      <c r="A43" s="17"/>
      <c r="B43" s="99"/>
      <c r="C43" s="100"/>
      <c r="D43" s="100"/>
      <c r="E43" s="101"/>
      <c r="F43" s="100"/>
      <c r="G43" s="100"/>
      <c r="H43" s="99"/>
      <c r="I43" s="101"/>
      <c r="L43" s="17"/>
      <c r="M43" s="99"/>
      <c r="N43" s="100"/>
      <c r="O43" s="100"/>
      <c r="P43" s="101"/>
      <c r="Q43" s="100"/>
      <c r="R43" s="100"/>
      <c r="S43" s="99"/>
      <c r="T43" s="101"/>
      <c r="W43" s="17"/>
      <c r="X43" s="99"/>
      <c r="Y43" s="100"/>
      <c r="Z43" s="100"/>
      <c r="AA43" s="101"/>
      <c r="AB43" s="100"/>
      <c r="AC43" s="100"/>
      <c r="AD43" s="99"/>
      <c r="AE43" s="101"/>
    </row>
    <row r="44" spans="1:31" x14ac:dyDescent="0.25">
      <c r="A44" s="19"/>
      <c r="B44" s="102"/>
      <c r="C44" s="102"/>
      <c r="D44" s="102"/>
      <c r="E44" s="103"/>
      <c r="F44" s="102"/>
      <c r="G44" s="103"/>
      <c r="H44" s="102"/>
      <c r="I44" s="103"/>
      <c r="L44" s="19"/>
      <c r="M44" s="102"/>
      <c r="N44" s="102"/>
      <c r="O44" s="102"/>
      <c r="P44" s="103"/>
      <c r="Q44" s="102"/>
      <c r="R44" s="103"/>
      <c r="S44" s="102"/>
      <c r="T44" s="103"/>
      <c r="W44" s="19"/>
      <c r="X44" s="102"/>
      <c r="Y44" s="102"/>
      <c r="Z44" s="102"/>
      <c r="AA44" s="103"/>
      <c r="AB44" s="102"/>
      <c r="AC44" s="103"/>
      <c r="AD44" s="102"/>
      <c r="AE44" s="103"/>
    </row>
    <row r="45" spans="1:31" x14ac:dyDescent="0.25">
      <c r="A45" s="19"/>
      <c r="B45" s="102"/>
      <c r="C45" s="102"/>
      <c r="D45" s="102"/>
      <c r="E45" s="103"/>
      <c r="F45" s="102"/>
      <c r="G45" s="103"/>
      <c r="H45" s="102"/>
      <c r="I45" s="103"/>
      <c r="L45" s="19"/>
      <c r="M45" s="102"/>
      <c r="N45" s="102"/>
      <c r="O45" s="102"/>
      <c r="P45" s="103"/>
      <c r="Q45" s="102"/>
      <c r="R45" s="103"/>
      <c r="S45" s="102"/>
      <c r="T45" s="103"/>
      <c r="W45" s="19"/>
      <c r="X45" s="102"/>
      <c r="Y45" s="102"/>
      <c r="Z45" s="102"/>
      <c r="AA45" s="103"/>
      <c r="AB45" s="102"/>
      <c r="AC45" s="103"/>
      <c r="AD45" s="102"/>
      <c r="AE45" s="103"/>
    </row>
    <row r="46" spans="1:31" x14ac:dyDescent="0.25">
      <c r="A46" s="18"/>
      <c r="B46" s="104"/>
      <c r="C46" s="104"/>
      <c r="D46" s="104"/>
      <c r="E46" s="105"/>
      <c r="F46" s="104"/>
      <c r="G46" s="105"/>
      <c r="H46" s="104"/>
      <c r="I46" s="105"/>
      <c r="L46" s="18"/>
      <c r="M46" s="104"/>
      <c r="N46" s="104"/>
      <c r="O46" s="104"/>
      <c r="P46" s="105"/>
      <c r="Q46" s="104"/>
      <c r="R46" s="105"/>
      <c r="S46" s="104"/>
      <c r="T46" s="105"/>
      <c r="W46" s="18"/>
      <c r="X46" s="104"/>
      <c r="Y46" s="104"/>
      <c r="Z46" s="104"/>
      <c r="AA46" s="105"/>
      <c r="AB46" s="104"/>
      <c r="AC46" s="105"/>
      <c r="AD46" s="104"/>
      <c r="AE46" s="105"/>
    </row>
    <row r="47" spans="1:31" x14ac:dyDescent="0.25">
      <c r="A47" s="17"/>
      <c r="B47" s="99"/>
      <c r="C47" s="100"/>
      <c r="D47" s="100"/>
      <c r="E47" s="101"/>
      <c r="F47" s="100"/>
      <c r="G47" s="100"/>
      <c r="H47" s="99"/>
      <c r="I47" s="101"/>
      <c r="L47" s="17"/>
      <c r="M47" s="99"/>
      <c r="N47" s="100"/>
      <c r="O47" s="100"/>
      <c r="P47" s="101"/>
      <c r="Q47" s="100"/>
      <c r="R47" s="100"/>
      <c r="S47" s="99"/>
      <c r="T47" s="101"/>
      <c r="W47" s="17"/>
      <c r="X47" s="99"/>
      <c r="Y47" s="100"/>
      <c r="Z47" s="100"/>
      <c r="AA47" s="101"/>
      <c r="AB47" s="100"/>
      <c r="AC47" s="100"/>
      <c r="AD47" s="99"/>
      <c r="AE47" s="101"/>
    </row>
    <row r="48" spans="1:31" x14ac:dyDescent="0.25">
      <c r="A48" s="19"/>
      <c r="B48" s="102"/>
      <c r="C48" s="102"/>
      <c r="D48" s="102"/>
      <c r="E48" s="103"/>
      <c r="F48" s="102"/>
      <c r="G48" s="103"/>
      <c r="H48" s="102"/>
      <c r="I48" s="103"/>
      <c r="L48" s="19"/>
      <c r="M48" s="102"/>
      <c r="N48" s="102"/>
      <c r="O48" s="102"/>
      <c r="P48" s="103"/>
      <c r="Q48" s="102"/>
      <c r="R48" s="103"/>
      <c r="S48" s="102"/>
      <c r="T48" s="103"/>
      <c r="W48" s="19"/>
      <c r="X48" s="102"/>
      <c r="Y48" s="102"/>
      <c r="Z48" s="102"/>
      <c r="AA48" s="103"/>
      <c r="AB48" s="102"/>
      <c r="AC48" s="103"/>
      <c r="AD48" s="102"/>
      <c r="AE48" s="103"/>
    </row>
    <row r="49" spans="1:31" x14ac:dyDescent="0.25">
      <c r="A49" s="19"/>
      <c r="B49" s="102"/>
      <c r="C49" s="102"/>
      <c r="D49" s="102"/>
      <c r="E49" s="103"/>
      <c r="F49" s="102"/>
      <c r="G49" s="103"/>
      <c r="H49" s="102"/>
      <c r="I49" s="103"/>
      <c r="L49" s="19"/>
      <c r="M49" s="102"/>
      <c r="N49" s="102"/>
      <c r="O49" s="102"/>
      <c r="P49" s="103"/>
      <c r="Q49" s="102"/>
      <c r="R49" s="103"/>
      <c r="S49" s="102"/>
      <c r="T49" s="103"/>
      <c r="W49" s="19"/>
      <c r="X49" s="102"/>
      <c r="Y49" s="102"/>
      <c r="Z49" s="102"/>
      <c r="AA49" s="103"/>
      <c r="AB49" s="102"/>
      <c r="AC49" s="103"/>
      <c r="AD49" s="102"/>
      <c r="AE49" s="103"/>
    </row>
    <row r="50" spans="1:31" x14ac:dyDescent="0.25">
      <c r="A50" s="19"/>
      <c r="B50" s="102"/>
      <c r="C50" s="102"/>
      <c r="D50" s="102"/>
      <c r="E50" s="103"/>
      <c r="F50" s="102"/>
      <c r="G50" s="103"/>
      <c r="H50" s="102"/>
      <c r="I50" s="103"/>
      <c r="L50" s="19"/>
      <c r="M50" s="102"/>
      <c r="N50" s="102"/>
      <c r="O50" s="102"/>
      <c r="P50" s="103"/>
      <c r="Q50" s="102"/>
      <c r="R50" s="103"/>
      <c r="S50" s="102"/>
      <c r="T50" s="103"/>
      <c r="W50" s="19"/>
      <c r="X50" s="102"/>
      <c r="Y50" s="102"/>
      <c r="Z50" s="102"/>
      <c r="AA50" s="103"/>
      <c r="AB50" s="102"/>
      <c r="AC50" s="103"/>
      <c r="AD50" s="102"/>
      <c r="AE50" s="103"/>
    </row>
    <row r="51" spans="1:31" x14ac:dyDescent="0.25">
      <c r="A51" s="19"/>
      <c r="B51" s="102"/>
      <c r="C51" s="102"/>
      <c r="D51" s="102"/>
      <c r="E51" s="103"/>
      <c r="F51" s="102"/>
      <c r="G51" s="103"/>
      <c r="H51" s="102"/>
      <c r="I51" s="103"/>
      <c r="L51" s="19"/>
      <c r="M51" s="102"/>
      <c r="N51" s="102"/>
      <c r="O51" s="102"/>
      <c r="P51" s="103"/>
      <c r="Q51" s="102"/>
      <c r="R51" s="103"/>
      <c r="S51" s="102"/>
      <c r="T51" s="103"/>
      <c r="W51" s="19"/>
      <c r="X51" s="102"/>
      <c r="Y51" s="102"/>
      <c r="Z51" s="102"/>
      <c r="AA51" s="103"/>
      <c r="AB51" s="102"/>
      <c r="AC51" s="103"/>
      <c r="AD51" s="102"/>
      <c r="AE51" s="103"/>
    </row>
    <row r="52" spans="1:31" x14ac:dyDescent="0.25">
      <c r="A52" s="19"/>
      <c r="B52" s="102"/>
      <c r="C52" s="102"/>
      <c r="D52" s="102"/>
      <c r="E52" s="103"/>
      <c r="F52" s="102"/>
      <c r="G52" s="103"/>
      <c r="H52" s="102"/>
      <c r="I52" s="147"/>
      <c r="L52" s="19"/>
      <c r="M52" s="102"/>
      <c r="N52" s="102"/>
      <c r="O52" s="102"/>
      <c r="P52" s="103"/>
      <c r="Q52" s="102"/>
      <c r="R52" s="103"/>
      <c r="S52" s="102"/>
      <c r="T52" s="147"/>
      <c r="W52" s="19"/>
      <c r="X52" s="102"/>
      <c r="Y52" s="102"/>
      <c r="Z52" s="102"/>
      <c r="AA52" s="103"/>
      <c r="AB52" s="102"/>
      <c r="AC52" s="103"/>
      <c r="AD52" s="102"/>
      <c r="AE52" s="147"/>
    </row>
    <row r="53" spans="1:31" x14ac:dyDescent="0.25">
      <c r="A53" s="129"/>
      <c r="B53" s="129"/>
      <c r="C53" s="129"/>
      <c r="D53" s="129"/>
      <c r="E53" s="129"/>
      <c r="F53" s="129"/>
      <c r="G53" s="129"/>
      <c r="H53" s="129"/>
      <c r="I53" s="129"/>
      <c r="L53" s="129"/>
      <c r="M53" s="129"/>
      <c r="N53" s="129"/>
      <c r="O53" s="129"/>
      <c r="P53" s="129"/>
      <c r="Q53" s="129"/>
      <c r="R53" s="129"/>
      <c r="S53" s="129"/>
      <c r="T53" s="129"/>
      <c r="W53" s="129"/>
      <c r="X53" s="129"/>
      <c r="Y53" s="129"/>
      <c r="Z53" s="129"/>
      <c r="AA53" s="129"/>
      <c r="AB53" s="129"/>
      <c r="AC53" s="129"/>
      <c r="AD53" s="129"/>
      <c r="AE53" s="129"/>
    </row>
    <row r="54" spans="1:31" x14ac:dyDescent="0.25">
      <c r="A54" s="130" t="s">
        <v>85</v>
      </c>
      <c r="B54" s="131"/>
      <c r="C54" s="136" t="s">
        <v>86</v>
      </c>
      <c r="D54" s="137"/>
      <c r="E54" s="56" t="s">
        <v>164</v>
      </c>
      <c r="F54" s="145">
        <f>IF(ISBLANK(F30),"",IF(ISERROR(VLOOKUP(F30,PAPELERIA_PAPEL_Y_LÁPIZ,13,FALSE)),"El dato no existe",VLOOKUP(F30,PAPELERIA_PAPEL_Y_LÁPIZ,13,FALSE)))</f>
        <v>498153.2</v>
      </c>
      <c r="G54" s="145"/>
      <c r="H54" s="145"/>
      <c r="I54" s="146"/>
      <c r="L54" s="130" t="s">
        <v>85</v>
      </c>
      <c r="M54" s="131"/>
      <c r="N54" s="136" t="s">
        <v>86</v>
      </c>
      <c r="O54" s="137"/>
      <c r="P54" s="56" t="s">
        <v>164</v>
      </c>
      <c r="Q54" s="145">
        <f>IF(ISBLANK(Q30),"",IF(ISERROR(VLOOKUP(Q30,PAPELERIA_PAPEL_Y_LÁPIZ,13,FALSE)),"El dato no existe",VLOOKUP(Q30,PAPELERIA_PAPEL_Y_LÁPIZ,13,FALSE)))</f>
        <v>305394.59999999998</v>
      </c>
      <c r="R54" s="145"/>
      <c r="S54" s="145"/>
      <c r="T54" s="146"/>
      <c r="W54" s="130" t="s">
        <v>85</v>
      </c>
      <c r="X54" s="131"/>
      <c r="Y54" s="136" t="s">
        <v>86</v>
      </c>
      <c r="Z54" s="137"/>
      <c r="AA54" s="56" t="s">
        <v>164</v>
      </c>
      <c r="AB54" s="145">
        <f>IF(ISBLANK(AB30),"",IF(ISERROR(VLOOKUP(AB30,PAPELERIA_PAPEL_Y_LÁPIZ,13,FALSE)),"El dato no existe",VLOOKUP(AB30,PAPELERIA_PAPEL_Y_LÁPIZ,13,FALSE)))</f>
        <v>103140</v>
      </c>
      <c r="AC54" s="145"/>
      <c r="AD54" s="145"/>
      <c r="AE54" s="146"/>
    </row>
    <row r="55" spans="1:31" x14ac:dyDescent="0.25">
      <c r="A55" s="132"/>
      <c r="B55" s="133"/>
      <c r="C55" s="138"/>
      <c r="D55" s="139"/>
      <c r="E55" s="140"/>
      <c r="F55" s="141"/>
      <c r="G55" s="141"/>
      <c r="H55" s="141"/>
      <c r="I55" s="142"/>
      <c r="L55" s="132"/>
      <c r="M55" s="133"/>
      <c r="N55" s="138"/>
      <c r="O55" s="139"/>
      <c r="P55" s="140"/>
      <c r="Q55" s="141"/>
      <c r="R55" s="141"/>
      <c r="S55" s="141"/>
      <c r="T55" s="142"/>
      <c r="W55" s="132"/>
      <c r="X55" s="133"/>
      <c r="Y55" s="138"/>
      <c r="Z55" s="139"/>
      <c r="AA55" s="140"/>
      <c r="AB55" s="141"/>
      <c r="AC55" s="141"/>
      <c r="AD55" s="141"/>
      <c r="AE55" s="142"/>
    </row>
    <row r="56" spans="1:31" x14ac:dyDescent="0.25">
      <c r="A56" s="134"/>
      <c r="B56" s="135"/>
      <c r="C56" s="143" t="s">
        <v>87</v>
      </c>
      <c r="D56" s="144"/>
      <c r="E56" s="56"/>
      <c r="F56" s="145">
        <f>IF(ISBLANK(F30),"",IF(ISERROR(VLOOKUP(F30,PAPELERIA_PAPEL_Y_LÁPIZ,16,FALSE)),"El dato no existe",VLOOKUP(F30,PAPELERIA_PAPEL_Y_LÁPIZ,16,FALSE)))</f>
        <v>592802.30799999996</v>
      </c>
      <c r="G56" s="145"/>
      <c r="H56" s="145"/>
      <c r="I56" s="146"/>
      <c r="L56" s="134"/>
      <c r="M56" s="135"/>
      <c r="N56" s="143" t="s">
        <v>87</v>
      </c>
      <c r="O56" s="144"/>
      <c r="P56" s="56"/>
      <c r="Q56" s="145">
        <f>IF(ISBLANK(Q30),"",IF(ISERROR(VLOOKUP(Q30,PAPELERIA_PAPEL_Y_LÁPIZ,16,FALSE)),"El dato no existe",VLOOKUP(Q30,PAPELERIA_PAPEL_Y_LÁPIZ,16,FALSE)))</f>
        <v>352730.76299999998</v>
      </c>
      <c r="R56" s="145"/>
      <c r="S56" s="145"/>
      <c r="T56" s="146"/>
      <c r="W56" s="134"/>
      <c r="X56" s="135"/>
      <c r="Y56" s="143" t="s">
        <v>87</v>
      </c>
      <c r="Z56" s="144"/>
      <c r="AA56" s="56"/>
      <c r="AB56" s="145">
        <f>IF(ISBLANK(AB30),"",IF(ISERROR(VLOOKUP(AB30,PAPELERIA_PAPEL_Y_LÁPIZ,16,FALSE)),"El dato no existe",VLOOKUP(AB30,PAPELERIA_PAPEL_Y_LÁPIZ,16,FALSE)))</f>
        <v>119126.70000000001</v>
      </c>
      <c r="AC56" s="145"/>
      <c r="AD56" s="145"/>
      <c r="AE56" s="146"/>
    </row>
    <row r="59" spans="1:31" x14ac:dyDescent="0.25">
      <c r="A59" s="110" t="s">
        <v>96</v>
      </c>
      <c r="B59" s="111"/>
      <c r="C59" s="111"/>
      <c r="D59" s="112"/>
      <c r="E59" s="116" t="s">
        <v>78</v>
      </c>
      <c r="F59" s="118">
        <v>703</v>
      </c>
      <c r="G59" s="118"/>
      <c r="H59" s="118"/>
      <c r="I59" s="118"/>
      <c r="L59" s="110" t="s">
        <v>96</v>
      </c>
      <c r="M59" s="111"/>
      <c r="N59" s="111"/>
      <c r="O59" s="112"/>
      <c r="P59" s="116" t="s">
        <v>78</v>
      </c>
      <c r="Q59" s="118">
        <v>713</v>
      </c>
      <c r="R59" s="118"/>
      <c r="S59" s="118"/>
      <c r="T59" s="118"/>
      <c r="W59" s="110" t="s">
        <v>96</v>
      </c>
      <c r="X59" s="111"/>
      <c r="Y59" s="111"/>
      <c r="Z59" s="112"/>
      <c r="AA59" s="116" t="s">
        <v>78</v>
      </c>
      <c r="AB59" s="118">
        <v>723</v>
      </c>
      <c r="AC59" s="118"/>
      <c r="AD59" s="118"/>
      <c r="AE59" s="118"/>
    </row>
    <row r="60" spans="1:31" x14ac:dyDescent="0.25">
      <c r="A60" s="113"/>
      <c r="B60" s="114"/>
      <c r="C60" s="114"/>
      <c r="D60" s="115"/>
      <c r="E60" s="117"/>
      <c r="F60" s="118"/>
      <c r="G60" s="118"/>
      <c r="H60" s="118"/>
      <c r="I60" s="118"/>
      <c r="L60" s="113"/>
      <c r="M60" s="114"/>
      <c r="N60" s="114"/>
      <c r="O60" s="115"/>
      <c r="P60" s="117"/>
      <c r="Q60" s="118"/>
      <c r="R60" s="118"/>
      <c r="S60" s="118"/>
      <c r="T60" s="118"/>
      <c r="W60" s="113"/>
      <c r="X60" s="114"/>
      <c r="Y60" s="114"/>
      <c r="Z60" s="115"/>
      <c r="AA60" s="117"/>
      <c r="AB60" s="118"/>
      <c r="AC60" s="118"/>
      <c r="AD60" s="118"/>
      <c r="AE60" s="118"/>
    </row>
    <row r="61" spans="1:31" x14ac:dyDescent="0.25">
      <c r="A61" s="119" t="s">
        <v>3</v>
      </c>
      <c r="B61" s="121" t="str">
        <f>IF(ISBLANK(F59),"",IF(ISERROR(VLOOKUP(F59,PAPELERIA_PAPEL_Y_LÁPIZ,3,FALSE)),"El dato no existe",VLOOKUP(F59,PAPELERIA_PAPEL_Y_LÁPIZ,3,FALSE)))</f>
        <v>CORPORACIÓN EDUCATIVA -ITAE-</v>
      </c>
      <c r="C61" s="121"/>
      <c r="D61" s="121"/>
      <c r="E61" s="122"/>
      <c r="F61" s="125" t="s">
        <v>79</v>
      </c>
      <c r="G61" s="125"/>
      <c r="H61" s="125"/>
      <c r="I61" s="126"/>
      <c r="L61" s="119" t="s">
        <v>3</v>
      </c>
      <c r="M61" s="121" t="str">
        <f>IF(ISBLANK(Q59),"",IF(ISERROR(VLOOKUP(Q59,PAPELERIA_PAPEL_Y_LÁPIZ,3,FALSE)),"El dato no existe",VLOOKUP(Q59,PAPELERIA_PAPEL_Y_LÁPIZ,3,FALSE)))</f>
        <v xml:space="preserve">FUNDACIÓN UNIVERSITARIA AUTONOMA </v>
      </c>
      <c r="N61" s="121"/>
      <c r="O61" s="121"/>
      <c r="P61" s="122"/>
      <c r="Q61" s="125" t="s">
        <v>79</v>
      </c>
      <c r="R61" s="125"/>
      <c r="S61" s="125"/>
      <c r="T61" s="126"/>
      <c r="W61" s="119" t="s">
        <v>3</v>
      </c>
      <c r="X61" s="121" t="str">
        <f>IF(ISBLANK(AB59),"",IF(ISERROR(VLOOKUP(AB59,PAPELERIA_PAPEL_Y_LÁPIZ,3,FALSE)),"El dato no existe",VLOOKUP(AB59,PAPELERIA_PAPEL_Y_LÁPIZ,3,FALSE)))</f>
        <v>INSTITUCIÓN DE EDUCACIÓN EMPRESARIAL</v>
      </c>
      <c r="Y61" s="121"/>
      <c r="Z61" s="121"/>
      <c r="AA61" s="122"/>
      <c r="AB61" s="125" t="s">
        <v>79</v>
      </c>
      <c r="AC61" s="125"/>
      <c r="AD61" s="125"/>
      <c r="AE61" s="126"/>
    </row>
    <row r="62" spans="1:31" x14ac:dyDescent="0.25">
      <c r="A62" s="120"/>
      <c r="B62" s="123"/>
      <c r="C62" s="123"/>
      <c r="D62" s="123"/>
      <c r="E62" s="124"/>
      <c r="F62" s="127">
        <v>26</v>
      </c>
      <c r="G62" s="128"/>
      <c r="H62" s="30">
        <v>11</v>
      </c>
      <c r="I62" s="28">
        <v>2018</v>
      </c>
      <c r="L62" s="120"/>
      <c r="M62" s="123"/>
      <c r="N62" s="123"/>
      <c r="O62" s="123"/>
      <c r="P62" s="124"/>
      <c r="Q62" s="127">
        <v>26</v>
      </c>
      <c r="R62" s="128"/>
      <c r="S62" s="30">
        <v>11</v>
      </c>
      <c r="T62" s="28">
        <v>2018</v>
      </c>
      <c r="W62" s="120"/>
      <c r="X62" s="123"/>
      <c r="Y62" s="123"/>
      <c r="Z62" s="123"/>
      <c r="AA62" s="124"/>
      <c r="AB62" s="127">
        <v>26</v>
      </c>
      <c r="AC62" s="128"/>
      <c r="AD62" s="30">
        <v>11</v>
      </c>
      <c r="AE62" s="28">
        <v>2018</v>
      </c>
    </row>
    <row r="63" spans="1:31" x14ac:dyDescent="0.25">
      <c r="A63" s="29" t="s">
        <v>95</v>
      </c>
      <c r="B63" s="94" t="str">
        <f>IF(ISBLANK(F59),"",IF(ISERROR(VLOOKUP(F59,PAPELERIA_PAPEL_Y_LÁPIZ,2,FALSE)),"El dato no existe",VLOOKUP(F59,PAPELERIA_PAPEL_Y_LÁPIZ,2,FALSE)))</f>
        <v>891411199-3</v>
      </c>
      <c r="C63" s="95"/>
      <c r="D63" s="29" t="s">
        <v>94</v>
      </c>
      <c r="E63" s="93" t="str">
        <f>IF(ISBLANK(F59),"",IF(ISERROR(VLOOKUP(F59,PAPELERIA_PAPEL_Y_LÁPIZ,5,FALSE)),"El dato no existe",VLOOKUP(F59,PAPELERIA_PAPEL_Y_LÁPIZ,5,FALSE)))</f>
        <v>Centro Carrera 3 Calle de la factoria N°35-95</v>
      </c>
      <c r="F63" s="93"/>
      <c r="G63" s="93"/>
      <c r="H63" s="93"/>
      <c r="I63" s="93"/>
      <c r="L63" s="29" t="s">
        <v>95</v>
      </c>
      <c r="M63" s="94" t="str">
        <f>IF(ISBLANK(Q59),"",IF(ISERROR(VLOOKUP(Q59,PAPELERIA_PAPEL_Y_LÁPIZ,2,FALSE)),"El dato no existe",VLOOKUP(Q59,PAPELERIA_PAPEL_Y_LÁPIZ,2,FALSE)))</f>
        <v>864366098-5</v>
      </c>
      <c r="N63" s="95"/>
      <c r="O63" s="29" t="s">
        <v>94</v>
      </c>
      <c r="P63" s="93" t="str">
        <f>IF(ISBLANK(Q59),"",IF(ISERROR(VLOOKUP(Q59,PAPELERIA_PAPEL_Y_LÁPIZ,5,FALSE)),"El dato no existe",VLOOKUP(Q59,PAPELERIA_PAPEL_Y_LÁPIZ,5,FALSE)))</f>
        <v>Calle 34 N° 15-36</v>
      </c>
      <c r="Q63" s="93"/>
      <c r="R63" s="93"/>
      <c r="S63" s="93"/>
      <c r="T63" s="93"/>
      <c r="W63" s="29" t="s">
        <v>95</v>
      </c>
      <c r="X63" s="94" t="str">
        <f>IF(ISBLANK(AB59),"",IF(ISERROR(VLOOKUP(AB59,PAPELERIA_PAPEL_Y_LÁPIZ,2,FALSE)),"El dato no existe",VLOOKUP(AB59,PAPELERIA_PAPEL_Y_LÁPIZ,2,FALSE)))</f>
        <v>892480054-9</v>
      </c>
      <c r="Y63" s="95"/>
      <c r="Z63" s="29" t="s">
        <v>94</v>
      </c>
      <c r="AA63" s="93" t="str">
        <f>IF(ISBLANK(AB59),"",IF(ISERROR(VLOOKUP(AB59,PAPELERIA_PAPEL_Y_LÁPIZ,5,FALSE)),"El dato no existe",VLOOKUP(AB59,PAPELERIA_PAPEL_Y_LÁPIZ,5,FALSE)))</f>
        <v>Calle 21 N° 6-01</v>
      </c>
      <c r="AB63" s="93"/>
      <c r="AC63" s="93"/>
      <c r="AD63" s="93"/>
      <c r="AE63" s="93"/>
    </row>
    <row r="64" spans="1:31" x14ac:dyDescent="0.25">
      <c r="A64" s="31" t="s">
        <v>80</v>
      </c>
      <c r="B64" s="94">
        <f>IF(ISBLANK(F59),"",IF(ISERROR(VLOOKUP(F59,PAPELERIA_PAPEL_Y_LÁPIZ,4,FALSE)),"El dato no existe",VLOOKUP(F59,PAPELERIA_PAPEL_Y_LÁPIZ,4,FALSE)))</f>
        <v>6642484</v>
      </c>
      <c r="C64" s="95"/>
      <c r="D64" s="91" t="s">
        <v>91</v>
      </c>
      <c r="E64" s="92"/>
      <c r="F64" s="96" t="str">
        <f>IF(ISBLANK(F59),"",IF(ISERROR(VLOOKUP(F59,PAPELERIA_PAPEL_Y_LÁPIZ,17,FALSE)),"El dato no existe",VLOOKUP(F59,PAPELERIA_PAPEL_Y_LÁPIZ,17,FALSE)))</f>
        <v>CRÉDITO</v>
      </c>
      <c r="G64" s="97"/>
      <c r="H64" s="97"/>
      <c r="I64" s="98"/>
      <c r="L64" s="31" t="s">
        <v>80</v>
      </c>
      <c r="M64" s="94">
        <f>IF(ISBLANK(Q59),"",IF(ISERROR(VLOOKUP(Q59,PAPELERIA_PAPEL_Y_LÁPIZ,4,FALSE)),"El dato no existe",VLOOKUP(Q59,PAPELERIA_PAPEL_Y_LÁPIZ,4,FALSE)))</f>
        <v>3078180</v>
      </c>
      <c r="N64" s="95"/>
      <c r="O64" s="91" t="s">
        <v>91</v>
      </c>
      <c r="P64" s="92"/>
      <c r="Q64" s="96" t="str">
        <f>IF(ISBLANK(Q59),"",IF(ISERROR(VLOOKUP(Q59,PAPELERIA_PAPEL_Y_LÁPIZ,17,FALSE)),"El dato no existe",VLOOKUP(Q59,PAPELERIA_PAPEL_Y_LÁPIZ,17,FALSE)))</f>
        <v>CRÉDITO</v>
      </c>
      <c r="R64" s="97"/>
      <c r="S64" s="97"/>
      <c r="T64" s="98"/>
      <c r="W64" s="31" t="s">
        <v>80</v>
      </c>
      <c r="X64" s="94">
        <f>IF(ISBLANK(AB59),"",IF(ISERROR(VLOOKUP(AB59,PAPELERIA_PAPEL_Y_LÁPIZ,4,FALSE)),"El dato no existe",VLOOKUP(AB59,PAPELERIA_PAPEL_Y_LÁPIZ,4,FALSE)))</f>
        <v>2804017</v>
      </c>
      <c r="Y64" s="95"/>
      <c r="Z64" s="91" t="s">
        <v>91</v>
      </c>
      <c r="AA64" s="92"/>
      <c r="AB64" s="96" t="str">
        <f>IF(ISBLANK(AB59),"",IF(ISERROR(VLOOKUP(AB59,PAPELERIA_PAPEL_Y_LÁPIZ,17,FALSE)),"El dato no existe",VLOOKUP(AB59,PAPELERIA_PAPEL_Y_LÁPIZ,17,FALSE)))</f>
        <v>CRÉDITO</v>
      </c>
      <c r="AC64" s="97"/>
      <c r="AD64" s="97"/>
      <c r="AE64" s="98"/>
    </row>
    <row r="65" spans="1:31" x14ac:dyDescent="0.25">
      <c r="A65" s="16" t="s">
        <v>81</v>
      </c>
      <c r="B65" s="86" t="s">
        <v>82</v>
      </c>
      <c r="C65" s="87"/>
      <c r="D65" s="87"/>
      <c r="E65" s="88"/>
      <c r="F65" s="89" t="s">
        <v>83</v>
      </c>
      <c r="G65" s="90"/>
      <c r="H65" s="86" t="s">
        <v>84</v>
      </c>
      <c r="I65" s="88"/>
      <c r="L65" s="16" t="s">
        <v>81</v>
      </c>
      <c r="M65" s="86" t="s">
        <v>82</v>
      </c>
      <c r="N65" s="87"/>
      <c r="O65" s="87"/>
      <c r="P65" s="88"/>
      <c r="Q65" s="89" t="s">
        <v>83</v>
      </c>
      <c r="R65" s="90"/>
      <c r="S65" s="86" t="s">
        <v>84</v>
      </c>
      <c r="T65" s="88"/>
      <c r="W65" s="16" t="s">
        <v>81</v>
      </c>
      <c r="X65" s="86" t="s">
        <v>82</v>
      </c>
      <c r="Y65" s="87"/>
      <c r="Z65" s="87"/>
      <c r="AA65" s="88"/>
      <c r="AB65" s="89" t="s">
        <v>83</v>
      </c>
      <c r="AC65" s="90"/>
      <c r="AD65" s="86" t="s">
        <v>84</v>
      </c>
      <c r="AE65" s="88"/>
    </row>
    <row r="66" spans="1:31" x14ac:dyDescent="0.25">
      <c r="A66" s="17">
        <f>IF(ISBLANK(F59),"",IF(ISERROR(VLOOKUP(F59,PAPELERIA_PAPEL_Y_LÁPIZ,8,FALSE)),"El dato no existe",VLOOKUP(F59,PAPELERIA_PAPEL_Y_LÁPIZ,8,FALSE)))</f>
        <v>40</v>
      </c>
      <c r="B66" s="99" t="str">
        <f>IF(ISBLANK(F59),"",IF(ISERROR(VLOOKUP(F59,PAPELERIA_PAPEL_Y_LÁPIZ,7,FALSE)),"El dato no existe",VLOOKUP(F59,PAPELERIA_PAPEL_Y_LÁPIZ,7,FALSE)))</f>
        <v xml:space="preserve">TALONARIO DE CAJA MENOR </v>
      </c>
      <c r="C66" s="100"/>
      <c r="D66" s="100"/>
      <c r="E66" s="101"/>
      <c r="F66" s="106">
        <f>IF(ISBLANK(F59),"",IF(ISERROR(VLOOKUP(F59,PAPELERIA_PAPEL_Y_LÁPIZ,10,FALSE)),"El dato no existe",VLOOKUP(F59,PAPELERIA_PAPEL_Y_LÁPIZ,10,FALSE)))</f>
        <v>900</v>
      </c>
      <c r="G66" s="107"/>
      <c r="H66" s="108">
        <f>IF(ISBLANK(F59),"",IF(ISERROR(VLOOKUP(F59,PAPELERIA_PAPEL_Y_LÁPIZ,11,FALSE)),"El dato no existe",VLOOKUP(F59,PAPELERIA_PAPEL_Y_LÁPIZ,11,FALSE)))</f>
        <v>36000</v>
      </c>
      <c r="I66" s="109"/>
      <c r="L66" s="17">
        <f>IF(ISBLANK(Q59),"",IF(ISERROR(VLOOKUP(Q59,PAPELERIA_PAPEL_Y_LÁPIZ,8,FALSE)),"El dato no existe",VLOOKUP(Q59,PAPELERIA_PAPEL_Y_LÁPIZ,8,FALSE)))</f>
        <v>20</v>
      </c>
      <c r="M66" s="99" t="str">
        <f>IF(ISBLANK(Q59),"",IF(ISERROR(VLOOKUP(Q59,PAPELERIA_PAPEL_Y_LÁPIZ,7,FALSE)),"El dato no existe",VLOOKUP(Q59,PAPELERIA_PAPEL_Y_LÁPIZ,7,FALSE)))</f>
        <v>ROLLOS PARA IMPRESORA DE CAJA X 6 U.</v>
      </c>
      <c r="N66" s="100"/>
      <c r="O66" s="100"/>
      <c r="P66" s="101"/>
      <c r="Q66" s="106">
        <f>IF(ISBLANK(Q59),"",IF(ISERROR(VLOOKUP(Q59,PAPELERIA_PAPEL_Y_LÁPIZ,10,FALSE)),"El dato no existe",VLOOKUP(Q59,PAPELERIA_PAPEL_Y_LÁPIZ,10,FALSE)))</f>
        <v>7654</v>
      </c>
      <c r="R66" s="107"/>
      <c r="S66" s="108">
        <f>IF(ISBLANK(Q59),"",IF(ISERROR(VLOOKUP(Q59,PAPELERIA_PAPEL_Y_LÁPIZ,11,FALSE)),"El dato no existe",VLOOKUP(Q59,PAPELERIA_PAPEL_Y_LÁPIZ,11,FALSE)))</f>
        <v>153080</v>
      </c>
      <c r="T66" s="109"/>
      <c r="W66" s="17">
        <f>IF(ISBLANK(AB59),"",IF(ISERROR(VLOOKUP(AB59,PAPELERIA_PAPEL_Y_LÁPIZ,8,FALSE)),"El dato no existe",VLOOKUP(AB59,PAPELERIA_PAPEL_Y_LÁPIZ,8,FALSE)))</f>
        <v>21</v>
      </c>
      <c r="X66" s="99" t="str">
        <f>IF(ISBLANK(AB59),"",IF(ISERROR(VLOOKUP(AB59,PAPELERIA_PAPEL_Y_LÁPIZ,7,FALSE)),"El dato no existe",VLOOKUP(AB59,PAPELERIA_PAPEL_Y_LÁPIZ,7,FALSE)))</f>
        <v>CARPETAS PARA ARCHIVO TAMAÑO CARTA</v>
      </c>
      <c r="Y66" s="100"/>
      <c r="Z66" s="100"/>
      <c r="AA66" s="101"/>
      <c r="AB66" s="106">
        <f>IF(ISBLANK(AB59),"",IF(ISERROR(VLOOKUP(AB59,PAPELERIA_PAPEL_Y_LÁPIZ,10,FALSE)),"El dato no existe",VLOOKUP(AB59,PAPELERIA_PAPEL_Y_LÁPIZ,10,FALSE)))</f>
        <v>4500</v>
      </c>
      <c r="AC66" s="107"/>
      <c r="AD66" s="108">
        <f>IF(ISBLANK(AB59),"",IF(ISERROR(VLOOKUP(AB59,PAPELERIA_PAPEL_Y_LÁPIZ,11,FALSE)),"El dato no existe",VLOOKUP(AB59,PAPELERIA_PAPEL_Y_LÁPIZ,11,FALSE)))</f>
        <v>94500</v>
      </c>
      <c r="AE66" s="109"/>
    </row>
    <row r="67" spans="1:31" x14ac:dyDescent="0.25">
      <c r="A67" s="18"/>
      <c r="B67" s="104"/>
      <c r="C67" s="104"/>
      <c r="D67" s="104"/>
      <c r="E67" s="105"/>
      <c r="F67" s="104"/>
      <c r="G67" s="105"/>
      <c r="H67" s="104"/>
      <c r="I67" s="105"/>
      <c r="L67" s="18"/>
      <c r="M67" s="104"/>
      <c r="N67" s="104"/>
      <c r="O67" s="104"/>
      <c r="P67" s="105"/>
      <c r="Q67" s="104"/>
      <c r="R67" s="105"/>
      <c r="S67" s="104"/>
      <c r="T67" s="105"/>
      <c r="W67" s="18"/>
      <c r="X67" s="104"/>
      <c r="Y67" s="104"/>
      <c r="Z67" s="104"/>
      <c r="AA67" s="105"/>
      <c r="AB67" s="104"/>
      <c r="AC67" s="105"/>
      <c r="AD67" s="104"/>
      <c r="AE67" s="105"/>
    </row>
    <row r="68" spans="1:31" x14ac:dyDescent="0.25">
      <c r="A68" s="17"/>
      <c r="B68" s="99"/>
      <c r="C68" s="100"/>
      <c r="D68" s="100"/>
      <c r="E68" s="101"/>
      <c r="F68" s="100"/>
      <c r="G68" s="100"/>
      <c r="H68" s="99"/>
      <c r="I68" s="101"/>
      <c r="L68" s="17"/>
      <c r="M68" s="99"/>
      <c r="N68" s="100"/>
      <c r="O68" s="100"/>
      <c r="P68" s="101"/>
      <c r="Q68" s="100"/>
      <c r="R68" s="100"/>
      <c r="S68" s="99"/>
      <c r="T68" s="101"/>
      <c r="W68" s="17"/>
      <c r="X68" s="99"/>
      <c r="Y68" s="100"/>
      <c r="Z68" s="100"/>
      <c r="AA68" s="101"/>
      <c r="AB68" s="100"/>
      <c r="AC68" s="100"/>
      <c r="AD68" s="99"/>
      <c r="AE68" s="101"/>
    </row>
    <row r="69" spans="1:31" x14ac:dyDescent="0.25">
      <c r="A69" s="18"/>
      <c r="B69" s="104"/>
      <c r="C69" s="104"/>
      <c r="D69" s="104"/>
      <c r="E69" s="105"/>
      <c r="F69" s="104"/>
      <c r="G69" s="105"/>
      <c r="H69" s="104"/>
      <c r="I69" s="105"/>
      <c r="L69" s="18"/>
      <c r="M69" s="104"/>
      <c r="N69" s="104"/>
      <c r="O69" s="104"/>
      <c r="P69" s="105"/>
      <c r="Q69" s="104"/>
      <c r="R69" s="105"/>
      <c r="S69" s="104"/>
      <c r="T69" s="105"/>
      <c r="W69" s="18"/>
      <c r="X69" s="104"/>
      <c r="Y69" s="104"/>
      <c r="Z69" s="104"/>
      <c r="AA69" s="105"/>
      <c r="AB69" s="104"/>
      <c r="AC69" s="105"/>
      <c r="AD69" s="104"/>
      <c r="AE69" s="105"/>
    </row>
    <row r="70" spans="1:31" x14ac:dyDescent="0.25">
      <c r="A70" s="17"/>
      <c r="B70" s="99"/>
      <c r="C70" s="100"/>
      <c r="D70" s="100"/>
      <c r="E70" s="101"/>
      <c r="F70" s="100"/>
      <c r="G70" s="100"/>
      <c r="H70" s="99"/>
      <c r="I70" s="101"/>
      <c r="L70" s="17"/>
      <c r="M70" s="99"/>
      <c r="N70" s="100"/>
      <c r="O70" s="100"/>
      <c r="P70" s="101"/>
      <c r="Q70" s="100"/>
      <c r="R70" s="100"/>
      <c r="S70" s="99"/>
      <c r="T70" s="101"/>
      <c r="W70" s="17"/>
      <c r="X70" s="99"/>
      <c r="Y70" s="100"/>
      <c r="Z70" s="100"/>
      <c r="AA70" s="101"/>
      <c r="AB70" s="100"/>
      <c r="AC70" s="100"/>
      <c r="AD70" s="99"/>
      <c r="AE70" s="101"/>
    </row>
    <row r="71" spans="1:31" x14ac:dyDescent="0.25">
      <c r="A71" s="19"/>
      <c r="B71" s="102"/>
      <c r="C71" s="102"/>
      <c r="D71" s="102"/>
      <c r="E71" s="103"/>
      <c r="F71" s="102"/>
      <c r="G71" s="103"/>
      <c r="H71" s="102"/>
      <c r="I71" s="103"/>
      <c r="L71" s="19"/>
      <c r="M71" s="102"/>
      <c r="N71" s="102"/>
      <c r="O71" s="102"/>
      <c r="P71" s="103"/>
      <c r="Q71" s="102"/>
      <c r="R71" s="103"/>
      <c r="S71" s="102"/>
      <c r="T71" s="103"/>
      <c r="W71" s="19"/>
      <c r="X71" s="102"/>
      <c r="Y71" s="102"/>
      <c r="Z71" s="102"/>
      <c r="AA71" s="103"/>
      <c r="AB71" s="102"/>
      <c r="AC71" s="103"/>
      <c r="AD71" s="102"/>
      <c r="AE71" s="103"/>
    </row>
    <row r="72" spans="1:31" x14ac:dyDescent="0.25">
      <c r="A72" s="17"/>
      <c r="B72" s="99"/>
      <c r="C72" s="100"/>
      <c r="D72" s="100"/>
      <c r="E72" s="101"/>
      <c r="F72" s="100"/>
      <c r="G72" s="100"/>
      <c r="H72" s="99"/>
      <c r="I72" s="101"/>
      <c r="L72" s="17"/>
      <c r="M72" s="99"/>
      <c r="N72" s="100"/>
      <c r="O72" s="100"/>
      <c r="P72" s="101"/>
      <c r="Q72" s="100"/>
      <c r="R72" s="100"/>
      <c r="S72" s="99"/>
      <c r="T72" s="101"/>
      <c r="W72" s="17"/>
      <c r="X72" s="99"/>
      <c r="Y72" s="100"/>
      <c r="Z72" s="100"/>
      <c r="AA72" s="101"/>
      <c r="AB72" s="100"/>
      <c r="AC72" s="100"/>
      <c r="AD72" s="99"/>
      <c r="AE72" s="101"/>
    </row>
    <row r="73" spans="1:31" x14ac:dyDescent="0.25">
      <c r="A73" s="19"/>
      <c r="B73" s="102"/>
      <c r="C73" s="102"/>
      <c r="D73" s="102"/>
      <c r="E73" s="103"/>
      <c r="F73" s="102"/>
      <c r="G73" s="103"/>
      <c r="H73" s="102"/>
      <c r="I73" s="103"/>
      <c r="L73" s="19"/>
      <c r="M73" s="102"/>
      <c r="N73" s="102"/>
      <c r="O73" s="102"/>
      <c r="P73" s="103"/>
      <c r="Q73" s="102"/>
      <c r="R73" s="103"/>
      <c r="S73" s="102"/>
      <c r="T73" s="103"/>
      <c r="W73" s="19"/>
      <c r="X73" s="102"/>
      <c r="Y73" s="102"/>
      <c r="Z73" s="102"/>
      <c r="AA73" s="103"/>
      <c r="AB73" s="102"/>
      <c r="AC73" s="103"/>
      <c r="AD73" s="102"/>
      <c r="AE73" s="103"/>
    </row>
    <row r="74" spans="1:31" x14ac:dyDescent="0.25">
      <c r="A74" s="19"/>
      <c r="B74" s="102"/>
      <c r="C74" s="102"/>
      <c r="D74" s="102"/>
      <c r="E74" s="103"/>
      <c r="F74" s="102"/>
      <c r="G74" s="103"/>
      <c r="H74" s="102"/>
      <c r="I74" s="103"/>
      <c r="L74" s="19"/>
      <c r="M74" s="102"/>
      <c r="N74" s="102"/>
      <c r="O74" s="102"/>
      <c r="P74" s="103"/>
      <c r="Q74" s="102"/>
      <c r="R74" s="103"/>
      <c r="S74" s="102"/>
      <c r="T74" s="103"/>
      <c r="W74" s="19"/>
      <c r="X74" s="102"/>
      <c r="Y74" s="102"/>
      <c r="Z74" s="102"/>
      <c r="AA74" s="103"/>
      <c r="AB74" s="102"/>
      <c r="AC74" s="103"/>
      <c r="AD74" s="102"/>
      <c r="AE74" s="103"/>
    </row>
    <row r="75" spans="1:31" x14ac:dyDescent="0.25">
      <c r="A75" s="18"/>
      <c r="B75" s="104"/>
      <c r="C75" s="104"/>
      <c r="D75" s="104"/>
      <c r="E75" s="105"/>
      <c r="F75" s="104"/>
      <c r="G75" s="105"/>
      <c r="H75" s="104"/>
      <c r="I75" s="105"/>
      <c r="L75" s="18"/>
      <c r="M75" s="104"/>
      <c r="N75" s="104"/>
      <c r="O75" s="104"/>
      <c r="P75" s="105"/>
      <c r="Q75" s="104"/>
      <c r="R75" s="105"/>
      <c r="S75" s="104"/>
      <c r="T75" s="105"/>
      <c r="W75" s="18"/>
      <c r="X75" s="104"/>
      <c r="Y75" s="104"/>
      <c r="Z75" s="104"/>
      <c r="AA75" s="105"/>
      <c r="AB75" s="104"/>
      <c r="AC75" s="105"/>
      <c r="AD75" s="104"/>
      <c r="AE75" s="105"/>
    </row>
    <row r="76" spans="1:31" x14ac:dyDescent="0.25">
      <c r="A76" s="17"/>
      <c r="B76" s="99"/>
      <c r="C76" s="100"/>
      <c r="D76" s="100"/>
      <c r="E76" s="101"/>
      <c r="F76" s="100"/>
      <c r="G76" s="100"/>
      <c r="H76" s="99"/>
      <c r="I76" s="101"/>
      <c r="L76" s="17"/>
      <c r="M76" s="99"/>
      <c r="N76" s="100"/>
      <c r="O76" s="100"/>
      <c r="P76" s="101"/>
      <c r="Q76" s="100"/>
      <c r="R76" s="100"/>
      <c r="S76" s="99"/>
      <c r="T76" s="101"/>
      <c r="W76" s="17"/>
      <c r="X76" s="99"/>
      <c r="Y76" s="100"/>
      <c r="Z76" s="100"/>
      <c r="AA76" s="101"/>
      <c r="AB76" s="100"/>
      <c r="AC76" s="100"/>
      <c r="AD76" s="99"/>
      <c r="AE76" s="101"/>
    </row>
    <row r="77" spans="1:31" x14ac:dyDescent="0.25">
      <c r="A77" s="19"/>
      <c r="B77" s="102"/>
      <c r="C77" s="102"/>
      <c r="D77" s="102"/>
      <c r="E77" s="103"/>
      <c r="F77" s="102"/>
      <c r="G77" s="103"/>
      <c r="H77" s="102"/>
      <c r="I77" s="103"/>
      <c r="L77" s="19"/>
      <c r="M77" s="102"/>
      <c r="N77" s="102"/>
      <c r="O77" s="102"/>
      <c r="P77" s="103"/>
      <c r="Q77" s="102"/>
      <c r="R77" s="103"/>
      <c r="S77" s="102"/>
      <c r="T77" s="103"/>
      <c r="W77" s="19"/>
      <c r="X77" s="102"/>
      <c r="Y77" s="102"/>
      <c r="Z77" s="102"/>
      <c r="AA77" s="103"/>
      <c r="AB77" s="102"/>
      <c r="AC77" s="103"/>
      <c r="AD77" s="102"/>
      <c r="AE77" s="103"/>
    </row>
    <row r="78" spans="1:31" x14ac:dyDescent="0.25">
      <c r="A78" s="19"/>
      <c r="B78" s="102"/>
      <c r="C78" s="102"/>
      <c r="D78" s="102"/>
      <c r="E78" s="103"/>
      <c r="F78" s="102"/>
      <c r="G78" s="103"/>
      <c r="H78" s="102"/>
      <c r="I78" s="103"/>
      <c r="L78" s="19"/>
      <c r="M78" s="102"/>
      <c r="N78" s="102"/>
      <c r="O78" s="102"/>
      <c r="P78" s="103"/>
      <c r="Q78" s="102"/>
      <c r="R78" s="103"/>
      <c r="S78" s="102"/>
      <c r="T78" s="103"/>
      <c r="W78" s="19"/>
      <c r="X78" s="102"/>
      <c r="Y78" s="102"/>
      <c r="Z78" s="102"/>
      <c r="AA78" s="103"/>
      <c r="AB78" s="102"/>
      <c r="AC78" s="103"/>
      <c r="AD78" s="102"/>
      <c r="AE78" s="103"/>
    </row>
    <row r="79" spans="1:31" x14ac:dyDescent="0.25">
      <c r="A79" s="19"/>
      <c r="B79" s="102"/>
      <c r="C79" s="102"/>
      <c r="D79" s="102"/>
      <c r="E79" s="103"/>
      <c r="F79" s="102"/>
      <c r="G79" s="103"/>
      <c r="H79" s="102"/>
      <c r="I79" s="103"/>
      <c r="L79" s="19"/>
      <c r="M79" s="102"/>
      <c r="N79" s="102"/>
      <c r="O79" s="102"/>
      <c r="P79" s="103"/>
      <c r="Q79" s="102"/>
      <c r="R79" s="103"/>
      <c r="S79" s="102"/>
      <c r="T79" s="103"/>
      <c r="W79" s="19"/>
      <c r="X79" s="102"/>
      <c r="Y79" s="102"/>
      <c r="Z79" s="102"/>
      <c r="AA79" s="103"/>
      <c r="AB79" s="102"/>
      <c r="AC79" s="103"/>
      <c r="AD79" s="102"/>
      <c r="AE79" s="103"/>
    </row>
    <row r="80" spans="1:31" x14ac:dyDescent="0.25">
      <c r="A80" s="19"/>
      <c r="B80" s="102"/>
      <c r="C80" s="102"/>
      <c r="D80" s="102"/>
      <c r="E80" s="103"/>
      <c r="F80" s="102"/>
      <c r="G80" s="103"/>
      <c r="H80" s="102"/>
      <c r="I80" s="103"/>
      <c r="L80" s="19"/>
      <c r="M80" s="102"/>
      <c r="N80" s="102"/>
      <c r="O80" s="102"/>
      <c r="P80" s="103"/>
      <c r="Q80" s="102"/>
      <c r="R80" s="103"/>
      <c r="S80" s="102"/>
      <c r="T80" s="103"/>
      <c r="W80" s="19"/>
      <c r="X80" s="102"/>
      <c r="Y80" s="102"/>
      <c r="Z80" s="102"/>
      <c r="AA80" s="103"/>
      <c r="AB80" s="102"/>
      <c r="AC80" s="103"/>
      <c r="AD80" s="102"/>
      <c r="AE80" s="103"/>
    </row>
    <row r="81" spans="1:31" x14ac:dyDescent="0.25">
      <c r="A81" s="19"/>
      <c r="B81" s="102"/>
      <c r="C81" s="102"/>
      <c r="D81" s="102"/>
      <c r="E81" s="103"/>
      <c r="F81" s="102"/>
      <c r="G81" s="103"/>
      <c r="H81" s="102"/>
      <c r="I81" s="147"/>
      <c r="L81" s="19"/>
      <c r="M81" s="102"/>
      <c r="N81" s="102"/>
      <c r="O81" s="102"/>
      <c r="P81" s="103"/>
      <c r="Q81" s="102"/>
      <c r="R81" s="103"/>
      <c r="S81" s="102"/>
      <c r="T81" s="147"/>
      <c r="W81" s="19"/>
      <c r="X81" s="102"/>
      <c r="Y81" s="102"/>
      <c r="Z81" s="102"/>
      <c r="AA81" s="103"/>
      <c r="AB81" s="102"/>
      <c r="AC81" s="103"/>
      <c r="AD81" s="102"/>
      <c r="AE81" s="147"/>
    </row>
    <row r="82" spans="1:31" x14ac:dyDescent="0.25">
      <c r="A82" s="129"/>
      <c r="B82" s="129"/>
      <c r="C82" s="129"/>
      <c r="D82" s="129"/>
      <c r="E82" s="129"/>
      <c r="F82" s="129"/>
      <c r="G82" s="129"/>
      <c r="H82" s="129"/>
      <c r="I82" s="129"/>
      <c r="L82" s="129"/>
      <c r="M82" s="129"/>
      <c r="N82" s="129"/>
      <c r="O82" s="129"/>
      <c r="P82" s="129"/>
      <c r="Q82" s="129"/>
      <c r="R82" s="129"/>
      <c r="S82" s="129"/>
      <c r="T82" s="129"/>
      <c r="W82" s="129"/>
      <c r="X82" s="129"/>
      <c r="Y82" s="129"/>
      <c r="Z82" s="129"/>
      <c r="AA82" s="129"/>
      <c r="AB82" s="129"/>
      <c r="AC82" s="129"/>
      <c r="AD82" s="129"/>
      <c r="AE82" s="129"/>
    </row>
    <row r="83" spans="1:31" x14ac:dyDescent="0.25">
      <c r="A83" s="130" t="s">
        <v>85</v>
      </c>
      <c r="B83" s="131"/>
      <c r="C83" s="136" t="s">
        <v>86</v>
      </c>
      <c r="D83" s="137"/>
      <c r="E83" s="56" t="s">
        <v>164</v>
      </c>
      <c r="F83" s="145">
        <f>IF(ISBLANK(F59),"",IF(ISERROR(VLOOKUP(F59,PAPELERIA_PAPEL_Y_LÁPIZ,13,FALSE)),"El dato no existe",VLOOKUP(F59,PAPELERIA_PAPEL_Y_LÁPIZ,13,FALSE)))</f>
        <v>34200</v>
      </c>
      <c r="G83" s="145"/>
      <c r="H83" s="145"/>
      <c r="I83" s="146"/>
      <c r="L83" s="130" t="s">
        <v>85</v>
      </c>
      <c r="M83" s="131"/>
      <c r="N83" s="136" t="s">
        <v>86</v>
      </c>
      <c r="O83" s="137"/>
      <c r="P83" s="56" t="s">
        <v>164</v>
      </c>
      <c r="Q83" s="145">
        <f>IF(ISBLANK(Q59),"",IF(ISERROR(VLOOKUP(Q59,PAPELERIA_PAPEL_Y_LÁPIZ,13,FALSE)),"El dato no existe",VLOOKUP(Q59,PAPELERIA_PAPEL_Y_LÁPIZ,13,FALSE)))</f>
        <v>148487.6</v>
      </c>
      <c r="R83" s="145"/>
      <c r="S83" s="145"/>
      <c r="T83" s="146"/>
      <c r="W83" s="130" t="s">
        <v>85</v>
      </c>
      <c r="X83" s="131"/>
      <c r="Y83" s="136" t="s">
        <v>86</v>
      </c>
      <c r="Z83" s="137"/>
      <c r="AA83" s="56" t="s">
        <v>164</v>
      </c>
      <c r="AB83" s="145">
        <f>IF(ISBLANK(AB59),"",IF(ISERROR(VLOOKUP(AB59,PAPELERIA_PAPEL_Y_LÁPIZ,13,FALSE)),"El dato no existe",VLOOKUP(AB59,PAPELERIA_PAPEL_Y_LÁPIZ,13,FALSE)))</f>
        <v>90247.5</v>
      </c>
      <c r="AC83" s="145"/>
      <c r="AD83" s="145"/>
      <c r="AE83" s="146"/>
    </row>
    <row r="84" spans="1:31" x14ac:dyDescent="0.25">
      <c r="A84" s="132"/>
      <c r="B84" s="133"/>
      <c r="C84" s="138"/>
      <c r="D84" s="139"/>
      <c r="E84" s="140"/>
      <c r="F84" s="141"/>
      <c r="G84" s="141"/>
      <c r="H84" s="141"/>
      <c r="I84" s="142"/>
      <c r="L84" s="132"/>
      <c r="M84" s="133"/>
      <c r="N84" s="138"/>
      <c r="O84" s="139"/>
      <c r="P84" s="140"/>
      <c r="Q84" s="141"/>
      <c r="R84" s="141"/>
      <c r="S84" s="141"/>
      <c r="T84" s="142"/>
      <c r="W84" s="132"/>
      <c r="X84" s="133"/>
      <c r="Y84" s="138"/>
      <c r="Z84" s="139"/>
      <c r="AA84" s="140"/>
      <c r="AB84" s="141"/>
      <c r="AC84" s="141"/>
      <c r="AD84" s="141"/>
      <c r="AE84" s="142"/>
    </row>
    <row r="85" spans="1:31" x14ac:dyDescent="0.25">
      <c r="A85" s="134"/>
      <c r="B85" s="135"/>
      <c r="C85" s="143" t="s">
        <v>87</v>
      </c>
      <c r="D85" s="144"/>
      <c r="E85" s="56"/>
      <c r="F85" s="145">
        <f>IF(ISBLANK(F59),"",IF(ISERROR(VLOOKUP(F59,PAPELERIA_PAPEL_Y_LÁPIZ,16,FALSE)),"El dato no existe",VLOOKUP(F59,PAPELERIA_PAPEL_Y_LÁPIZ,16,FALSE)))</f>
        <v>33003</v>
      </c>
      <c r="G85" s="145"/>
      <c r="H85" s="145"/>
      <c r="I85" s="146"/>
      <c r="L85" s="134"/>
      <c r="M85" s="135"/>
      <c r="N85" s="143" t="s">
        <v>87</v>
      </c>
      <c r="O85" s="144"/>
      <c r="P85" s="56"/>
      <c r="Q85" s="145">
        <f>IF(ISBLANK(Q59),"",IF(ISERROR(VLOOKUP(Q59,PAPELERIA_PAPEL_Y_LÁPIZ,16,FALSE)),"El dato no existe",VLOOKUP(Q59,PAPELERIA_PAPEL_Y_LÁPIZ,16,FALSE)))</f>
        <v>171503.17800000001</v>
      </c>
      <c r="R85" s="145"/>
      <c r="S85" s="145"/>
      <c r="T85" s="146"/>
      <c r="W85" s="134"/>
      <c r="X85" s="135"/>
      <c r="Y85" s="143" t="s">
        <v>87</v>
      </c>
      <c r="Z85" s="144"/>
      <c r="AA85" s="56"/>
      <c r="AB85" s="145">
        <f>IF(ISBLANK(AB59),"",IF(ISERROR(VLOOKUP(AB59,PAPELERIA_PAPEL_Y_LÁPIZ,16,FALSE)),"El dato no existe",VLOOKUP(AB59,PAPELERIA_PAPEL_Y_LÁPIZ,16,FALSE)))</f>
        <v>104235.86249999999</v>
      </c>
      <c r="AC85" s="145"/>
      <c r="AD85" s="145"/>
      <c r="AE85" s="146"/>
    </row>
    <row r="88" spans="1:31" x14ac:dyDescent="0.25">
      <c r="A88" s="110" t="s">
        <v>96</v>
      </c>
      <c r="B88" s="111"/>
      <c r="C88" s="111"/>
      <c r="D88" s="112"/>
      <c r="E88" s="116" t="s">
        <v>78</v>
      </c>
      <c r="F88" s="118">
        <v>704</v>
      </c>
      <c r="G88" s="118"/>
      <c r="H88" s="118"/>
      <c r="I88" s="118"/>
      <c r="L88" s="110" t="s">
        <v>96</v>
      </c>
      <c r="M88" s="111"/>
      <c r="N88" s="111"/>
      <c r="O88" s="112"/>
      <c r="P88" s="116" t="s">
        <v>78</v>
      </c>
      <c r="Q88" s="118">
        <v>714</v>
      </c>
      <c r="R88" s="118"/>
      <c r="S88" s="118"/>
      <c r="T88" s="118"/>
      <c r="W88" s="110" t="s">
        <v>96</v>
      </c>
      <c r="X88" s="111"/>
      <c r="Y88" s="111"/>
      <c r="Z88" s="112"/>
      <c r="AA88" s="116" t="s">
        <v>78</v>
      </c>
      <c r="AB88" s="118">
        <v>724</v>
      </c>
      <c r="AC88" s="118"/>
      <c r="AD88" s="118"/>
      <c r="AE88" s="118"/>
    </row>
    <row r="89" spans="1:31" x14ac:dyDescent="0.25">
      <c r="A89" s="113"/>
      <c r="B89" s="114"/>
      <c r="C89" s="114"/>
      <c r="D89" s="115"/>
      <c r="E89" s="117"/>
      <c r="F89" s="118"/>
      <c r="G89" s="118"/>
      <c r="H89" s="118"/>
      <c r="I89" s="118"/>
      <c r="L89" s="113"/>
      <c r="M89" s="114"/>
      <c r="N89" s="114"/>
      <c r="O89" s="115"/>
      <c r="P89" s="117"/>
      <c r="Q89" s="118"/>
      <c r="R89" s="118"/>
      <c r="S89" s="118"/>
      <c r="T89" s="118"/>
      <c r="W89" s="113"/>
      <c r="X89" s="114"/>
      <c r="Y89" s="114"/>
      <c r="Z89" s="115"/>
      <c r="AA89" s="117"/>
      <c r="AB89" s="118"/>
      <c r="AC89" s="118"/>
      <c r="AD89" s="118"/>
      <c r="AE89" s="118"/>
    </row>
    <row r="90" spans="1:31" x14ac:dyDescent="0.25">
      <c r="A90" s="119" t="s">
        <v>3</v>
      </c>
      <c r="B90" s="121" t="str">
        <f>IF(ISBLANK(F88),"",IF(ISERROR(VLOOKUP(F88,PAPELERIA_PAPEL_Y_LÁPIZ,3,FALSE)),"El dato no existe",VLOOKUP(F88,PAPELERIA_PAPEL_Y_LÁPIZ,3,FALSE)))</f>
        <v>CORPORACIÓN ESCUELA DE ARTES Y LETRAS</v>
      </c>
      <c r="C90" s="121"/>
      <c r="D90" s="121"/>
      <c r="E90" s="122"/>
      <c r="F90" s="125" t="s">
        <v>79</v>
      </c>
      <c r="G90" s="125"/>
      <c r="H90" s="125"/>
      <c r="I90" s="126"/>
      <c r="L90" s="119" t="s">
        <v>3</v>
      </c>
      <c r="M90" s="121" t="str">
        <f>IF(ISBLANK(Q88),"",IF(ISERROR(VLOOKUP(Q88,PAPELERIA_PAPEL_Y_LÁPIZ,3,FALSE)),"El dato no existe",VLOOKUP(Q88,PAPELERIA_PAPEL_Y_LÁPIZ,3,FALSE)))</f>
        <v>CORPORACION ARTES Y OFICIOS</v>
      </c>
      <c r="N90" s="121"/>
      <c r="O90" s="121"/>
      <c r="P90" s="122"/>
      <c r="Q90" s="125" t="s">
        <v>79</v>
      </c>
      <c r="R90" s="125"/>
      <c r="S90" s="125"/>
      <c r="T90" s="126"/>
      <c r="W90" s="119" t="s">
        <v>3</v>
      </c>
      <c r="X90" s="121" t="str">
        <f>IF(ISBLANK(AB88),"",IF(ISERROR(VLOOKUP(AB88,PAPELERIA_PAPEL_Y_LÁPIZ,3,FALSE)),"El dato no existe",VLOOKUP(AB88,PAPELERIA_PAPEL_Y_LÁPIZ,3,FALSE)))</f>
        <v xml:space="preserve">UNIVERSIDAD CENTRAL </v>
      </c>
      <c r="Y90" s="121"/>
      <c r="Z90" s="121"/>
      <c r="AA90" s="122"/>
      <c r="AB90" s="125" t="s">
        <v>79</v>
      </c>
      <c r="AC90" s="125"/>
      <c r="AD90" s="125"/>
      <c r="AE90" s="126"/>
    </row>
    <row r="91" spans="1:31" x14ac:dyDescent="0.25">
      <c r="A91" s="120"/>
      <c r="B91" s="123"/>
      <c r="C91" s="123"/>
      <c r="D91" s="123"/>
      <c r="E91" s="124"/>
      <c r="F91" s="127">
        <v>26</v>
      </c>
      <c r="G91" s="128"/>
      <c r="H91" s="30">
        <v>11</v>
      </c>
      <c r="I91" s="28">
        <v>2018</v>
      </c>
      <c r="L91" s="120"/>
      <c r="M91" s="123"/>
      <c r="N91" s="123"/>
      <c r="O91" s="123"/>
      <c r="P91" s="124"/>
      <c r="Q91" s="127">
        <v>26</v>
      </c>
      <c r="R91" s="128"/>
      <c r="S91" s="30">
        <v>11</v>
      </c>
      <c r="T91" s="28">
        <v>2018</v>
      </c>
      <c r="W91" s="120"/>
      <c r="X91" s="123"/>
      <c r="Y91" s="123"/>
      <c r="Z91" s="123"/>
      <c r="AA91" s="124"/>
      <c r="AB91" s="127">
        <v>26</v>
      </c>
      <c r="AC91" s="128"/>
      <c r="AD91" s="30">
        <v>11</v>
      </c>
      <c r="AE91" s="28">
        <v>2018</v>
      </c>
    </row>
    <row r="92" spans="1:31" x14ac:dyDescent="0.25">
      <c r="A92" s="29" t="s">
        <v>95</v>
      </c>
      <c r="B92" s="94" t="str">
        <f>IF(ISBLANK(F88),"",IF(ISERROR(VLOOKUP(F88,PAPELERIA_PAPEL_Y_LÁPIZ,2,FALSE)),"El dato no existe",VLOOKUP(F88,PAPELERIA_PAPEL_Y_LÁPIZ,2,FALSE)))</f>
        <v>8900704562-9</v>
      </c>
      <c r="C92" s="95"/>
      <c r="D92" s="29" t="s">
        <v>94</v>
      </c>
      <c r="E92" s="93" t="str">
        <f>IF(ISBLANK(F88),"",IF(ISERROR(VLOOKUP(F88,PAPELERIA_PAPEL_Y_LÁPIZ,5,FALSE)),"El dato no existe",VLOOKUP(F88,PAPELERIA_PAPEL_Y_LÁPIZ,5,FALSE)))</f>
        <v xml:space="preserve">Calle 10 N° 29-93 </v>
      </c>
      <c r="F92" s="93"/>
      <c r="G92" s="93"/>
      <c r="H92" s="93"/>
      <c r="I92" s="93"/>
      <c r="L92" s="29" t="s">
        <v>95</v>
      </c>
      <c r="M92" s="94" t="str">
        <f>IF(ISBLANK(Q88),"",IF(ISERROR(VLOOKUP(Q88,PAPELERIA_PAPEL_Y_LÁPIZ,2,FALSE)),"El dato no existe",VLOOKUP(Q88,PAPELERIA_PAPEL_Y_LÁPIZ,2,FALSE)))</f>
        <v>862504543-1</v>
      </c>
      <c r="N92" s="95"/>
      <c r="O92" s="29" t="s">
        <v>94</v>
      </c>
      <c r="P92" s="93" t="str">
        <f>IF(ISBLANK(Q88),"",IF(ISERROR(VLOOKUP(Q88,PAPELERIA_PAPEL_Y_LÁPIZ,5,FALSE)),"El dato no existe",VLOOKUP(Q88,PAPELERIA_PAPEL_Y_LÁPIZ,5,FALSE)))</f>
        <v>Calle 33 N° 11-50</v>
      </c>
      <c r="Q92" s="93"/>
      <c r="R92" s="93"/>
      <c r="S92" s="93"/>
      <c r="T92" s="93"/>
      <c r="W92" s="29" t="s">
        <v>95</v>
      </c>
      <c r="X92" s="94" t="str">
        <f>IF(ISBLANK(AB88),"",IF(ISERROR(VLOOKUP(AB88,PAPELERIA_PAPEL_Y_LÁPIZ,2,FALSE)),"El dato no existe",VLOOKUP(AB88,PAPELERIA_PAPEL_Y_LÁPIZ,2,FALSE)))</f>
        <v>891421189-6</v>
      </c>
      <c r="Y92" s="95"/>
      <c r="Z92" s="29" t="s">
        <v>94</v>
      </c>
      <c r="AA92" s="93" t="str">
        <f>IF(ISBLANK(AB88),"",IF(ISERROR(VLOOKUP(AB88,PAPELERIA_PAPEL_Y_LÁPIZ,5,FALSE)),"El dato no existe",VLOOKUP(AB88,PAPELERIA_PAPEL_Y_LÁPIZ,5,FALSE)))</f>
        <v>Carrera 50 N° 79-155</v>
      </c>
      <c r="AB92" s="93"/>
      <c r="AC92" s="93"/>
      <c r="AD92" s="93"/>
      <c r="AE92" s="93"/>
    </row>
    <row r="93" spans="1:31" x14ac:dyDescent="0.25">
      <c r="A93" s="31" t="s">
        <v>80</v>
      </c>
      <c r="B93" s="94">
        <f>IF(ISBLANK(F88),"",IF(ISERROR(VLOOKUP(F88,PAPELERIA_PAPEL_Y_LÁPIZ,4,FALSE)),"El dato no existe",VLOOKUP(F88,PAPELERIA_PAPEL_Y_LÁPIZ,4,FALSE)))</f>
        <v>2134421</v>
      </c>
      <c r="C93" s="95"/>
      <c r="D93" s="91" t="s">
        <v>91</v>
      </c>
      <c r="E93" s="92"/>
      <c r="F93" s="96" t="str">
        <f>IF(ISBLANK(F88),"",IF(ISERROR(VLOOKUP(F88,PAPELERIA_PAPEL_Y_LÁPIZ,17,FALSE)),"El dato no existe",VLOOKUP(F88,PAPELERIA_PAPEL_Y_LÁPIZ,17,FALSE)))</f>
        <v>CRÉDITO</v>
      </c>
      <c r="G93" s="97"/>
      <c r="H93" s="97"/>
      <c r="I93" s="98"/>
      <c r="L93" s="31" t="s">
        <v>80</v>
      </c>
      <c r="M93" s="94">
        <f>IF(ISBLANK(Q88),"",IF(ISERROR(VLOOKUP(Q88,PAPELERIA_PAPEL_Y_LÁPIZ,4,FALSE)),"El dato no existe",VLOOKUP(Q88,PAPELERIA_PAPEL_Y_LÁPIZ,4,FALSE)))</f>
        <v>2321617</v>
      </c>
      <c r="N93" s="95"/>
      <c r="O93" s="91" t="s">
        <v>91</v>
      </c>
      <c r="P93" s="92"/>
      <c r="Q93" s="96" t="str">
        <f>IF(ISBLANK(Q88),"",IF(ISERROR(VLOOKUP(Q88,PAPELERIA_PAPEL_Y_LÁPIZ,17,FALSE)),"El dato no existe",VLOOKUP(Q88,PAPELERIA_PAPEL_Y_LÁPIZ,17,FALSE)))</f>
        <v>CONTADO</v>
      </c>
      <c r="R93" s="97"/>
      <c r="S93" s="97"/>
      <c r="T93" s="98"/>
      <c r="W93" s="31" t="s">
        <v>80</v>
      </c>
      <c r="X93" s="94">
        <f>IF(ISBLANK(AB88),"",IF(ISERROR(VLOOKUP(AB88,PAPELERIA_PAPEL_Y_LÁPIZ,4,FALSE)),"El dato no existe",VLOOKUP(AB88,PAPELERIA_PAPEL_Y_LÁPIZ,4,FALSE)))</f>
        <v>3681013</v>
      </c>
      <c r="Y93" s="95"/>
      <c r="Z93" s="91" t="s">
        <v>91</v>
      </c>
      <c r="AA93" s="92"/>
      <c r="AB93" s="96" t="str">
        <f>IF(ISBLANK(AB88),"",IF(ISERROR(VLOOKUP(AB88,PAPELERIA_PAPEL_Y_LÁPIZ,17,FALSE)),"El dato no existe",VLOOKUP(AB88,PAPELERIA_PAPEL_Y_LÁPIZ,17,FALSE)))</f>
        <v>CONTADO</v>
      </c>
      <c r="AC93" s="97"/>
      <c r="AD93" s="97"/>
      <c r="AE93" s="98"/>
    </row>
    <row r="94" spans="1:31" x14ac:dyDescent="0.25">
      <c r="A94" s="16" t="s">
        <v>81</v>
      </c>
      <c r="B94" s="86" t="s">
        <v>82</v>
      </c>
      <c r="C94" s="87"/>
      <c r="D94" s="87"/>
      <c r="E94" s="88"/>
      <c r="F94" s="89" t="s">
        <v>83</v>
      </c>
      <c r="G94" s="90"/>
      <c r="H94" s="86" t="s">
        <v>84</v>
      </c>
      <c r="I94" s="88"/>
      <c r="L94" s="16" t="s">
        <v>81</v>
      </c>
      <c r="M94" s="86" t="s">
        <v>82</v>
      </c>
      <c r="N94" s="87"/>
      <c r="O94" s="87"/>
      <c r="P94" s="88"/>
      <c r="Q94" s="89" t="s">
        <v>83</v>
      </c>
      <c r="R94" s="90"/>
      <c r="S94" s="86" t="s">
        <v>84</v>
      </c>
      <c r="T94" s="88"/>
      <c r="W94" s="16" t="s">
        <v>81</v>
      </c>
      <c r="X94" s="86" t="s">
        <v>82</v>
      </c>
      <c r="Y94" s="87"/>
      <c r="Z94" s="87"/>
      <c r="AA94" s="88"/>
      <c r="AB94" s="89" t="s">
        <v>83</v>
      </c>
      <c r="AC94" s="90"/>
      <c r="AD94" s="86" t="s">
        <v>84</v>
      </c>
      <c r="AE94" s="88"/>
    </row>
    <row r="95" spans="1:31" x14ac:dyDescent="0.25">
      <c r="A95" s="17">
        <f>IF(ISBLANK(F88),"",IF(ISERROR(VLOOKUP(F88,PAPELERIA_PAPEL_Y_LÁPIZ,8,FALSE)),"El dato no existe",VLOOKUP(F88,PAPELERIA_PAPEL_Y_LÁPIZ,8,FALSE)))</f>
        <v>22</v>
      </c>
      <c r="B95" s="99" t="str">
        <f>IF(ISBLANK(F88),"",IF(ISERROR(VLOOKUP(F88,PAPELERIA_PAPEL_Y_LÁPIZ,7,FALSE)),"El dato no existe",VLOOKUP(F88,PAPELERIA_PAPEL_Y_LÁPIZ,7,FALSE)))</f>
        <v>CUADERNO ARGOLLADO</v>
      </c>
      <c r="C95" s="100"/>
      <c r="D95" s="100"/>
      <c r="E95" s="101"/>
      <c r="F95" s="106">
        <f>IF(ISBLANK(F88),"",IF(ISERROR(VLOOKUP(F88,PAPELERIA_PAPEL_Y_LÁPIZ,10,FALSE)),"El dato no existe",VLOOKUP(F88,PAPELERIA_PAPEL_Y_LÁPIZ,10,FALSE)))</f>
        <v>10900</v>
      </c>
      <c r="G95" s="107"/>
      <c r="H95" s="108">
        <f>IF(ISBLANK(F88),"",IF(ISERROR(VLOOKUP(F88,PAPELERIA_PAPEL_Y_LÁPIZ,11,FALSE)),"El dato no existe",VLOOKUP(F88,PAPELERIA_PAPEL_Y_LÁPIZ,11,FALSE)))</f>
        <v>239800</v>
      </c>
      <c r="I95" s="109"/>
      <c r="L95" s="17">
        <f>IF(ISBLANK(Q88),"",IF(ISERROR(VLOOKUP(Q88,PAPELERIA_PAPEL_Y_LÁPIZ,8,FALSE)),"El dato no existe",VLOOKUP(Q88,PAPELERIA_PAPEL_Y_LÁPIZ,8,FALSE)))</f>
        <v>29</v>
      </c>
      <c r="M95" s="99" t="str">
        <f>IF(ISBLANK(Q88),"",IF(ISERROR(VLOOKUP(Q88,PAPELERIA_PAPEL_Y_LÁPIZ,7,FALSE)),"El dato no existe",VLOOKUP(Q88,PAPELERIA_PAPEL_Y_LÁPIZ,7,FALSE)))</f>
        <v>BLOCK TAMAÑO CARTA</v>
      </c>
      <c r="N95" s="100"/>
      <c r="O95" s="100"/>
      <c r="P95" s="101"/>
      <c r="Q95" s="106">
        <f>IF(ISBLANK(Q88),"",IF(ISERROR(VLOOKUP(Q88,PAPELERIA_PAPEL_Y_LÁPIZ,10,FALSE)),"El dato no existe",VLOOKUP(Q88,PAPELERIA_PAPEL_Y_LÁPIZ,10,FALSE)))</f>
        <v>2400</v>
      </c>
      <c r="R95" s="107"/>
      <c r="S95" s="108">
        <f>IF(ISBLANK(Q88),"",IF(ISERROR(VLOOKUP(Q88,PAPELERIA_PAPEL_Y_LÁPIZ,11,FALSE)),"El dato no existe",VLOOKUP(Q88,PAPELERIA_PAPEL_Y_LÁPIZ,11,FALSE)))</f>
        <v>69600</v>
      </c>
      <c r="T95" s="109"/>
      <c r="W95" s="17">
        <f>IF(ISBLANK(AB88),"",IF(ISERROR(VLOOKUP(AB88,PAPELERIA_PAPEL_Y_LÁPIZ,8,FALSE)),"El dato no existe",VLOOKUP(AB88,PAPELERIA_PAPEL_Y_LÁPIZ,8,FALSE)))</f>
        <v>26</v>
      </c>
      <c r="X95" s="99" t="str">
        <f>IF(ISBLANK(AB88),"",IF(ISERROR(VLOOKUP(AB88,PAPELERIA_PAPEL_Y_LÁPIZ,7,FALSE)),"El dato no existe",VLOOKUP(AB88,PAPELERIA_PAPEL_Y_LÁPIZ,7,FALSE)))</f>
        <v xml:space="preserve">MORRAL </v>
      </c>
      <c r="Y95" s="100"/>
      <c r="Z95" s="100"/>
      <c r="AA95" s="101"/>
      <c r="AB95" s="106">
        <f>IF(ISBLANK(AB88),"",IF(ISERROR(VLOOKUP(AB88,PAPELERIA_PAPEL_Y_LÁPIZ,10,FALSE)),"El dato no existe",VLOOKUP(AB88,PAPELERIA_PAPEL_Y_LÁPIZ,10,FALSE)))</f>
        <v>24000</v>
      </c>
      <c r="AC95" s="107"/>
      <c r="AD95" s="108">
        <f>IF(ISBLANK(AB88),"",IF(ISERROR(VLOOKUP(AB88,PAPELERIA_PAPEL_Y_LÁPIZ,11,FALSE)),"El dato no existe",VLOOKUP(AB88,PAPELERIA_PAPEL_Y_LÁPIZ,11,FALSE)))</f>
        <v>624000</v>
      </c>
      <c r="AE95" s="109"/>
    </row>
    <row r="96" spans="1:31" x14ac:dyDescent="0.25">
      <c r="A96" s="18"/>
      <c r="B96" s="104"/>
      <c r="C96" s="104"/>
      <c r="D96" s="104"/>
      <c r="E96" s="105"/>
      <c r="F96" s="104"/>
      <c r="G96" s="105"/>
      <c r="H96" s="104"/>
      <c r="I96" s="105"/>
      <c r="L96" s="18"/>
      <c r="M96" s="104"/>
      <c r="N96" s="104"/>
      <c r="O96" s="104"/>
      <c r="P96" s="105"/>
      <c r="Q96" s="104"/>
      <c r="R96" s="105"/>
      <c r="S96" s="104"/>
      <c r="T96" s="105"/>
      <c r="W96" s="18"/>
      <c r="X96" s="104"/>
      <c r="Y96" s="104"/>
      <c r="Z96" s="104"/>
      <c r="AA96" s="105"/>
      <c r="AB96" s="104"/>
      <c r="AC96" s="105"/>
      <c r="AD96" s="104"/>
      <c r="AE96" s="105"/>
    </row>
    <row r="97" spans="1:31" x14ac:dyDescent="0.25">
      <c r="A97" s="17"/>
      <c r="B97" s="99"/>
      <c r="C97" s="100"/>
      <c r="D97" s="100"/>
      <c r="E97" s="101"/>
      <c r="F97" s="100"/>
      <c r="G97" s="100"/>
      <c r="H97" s="99"/>
      <c r="I97" s="101"/>
      <c r="L97" s="17"/>
      <c r="M97" s="99"/>
      <c r="N97" s="100"/>
      <c r="O97" s="100"/>
      <c r="P97" s="101"/>
      <c r="Q97" s="100"/>
      <c r="R97" s="100"/>
      <c r="S97" s="99"/>
      <c r="T97" s="101"/>
      <c r="W97" s="17"/>
      <c r="X97" s="99"/>
      <c r="Y97" s="100"/>
      <c r="Z97" s="100"/>
      <c r="AA97" s="101"/>
      <c r="AB97" s="100"/>
      <c r="AC97" s="100"/>
      <c r="AD97" s="99"/>
      <c r="AE97" s="101"/>
    </row>
    <row r="98" spans="1:31" x14ac:dyDescent="0.25">
      <c r="A98" s="18"/>
      <c r="B98" s="104"/>
      <c r="C98" s="104"/>
      <c r="D98" s="104"/>
      <c r="E98" s="105"/>
      <c r="F98" s="104"/>
      <c r="G98" s="105"/>
      <c r="H98" s="104"/>
      <c r="I98" s="105"/>
      <c r="L98" s="18"/>
      <c r="M98" s="104"/>
      <c r="N98" s="104"/>
      <c r="O98" s="104"/>
      <c r="P98" s="105"/>
      <c r="Q98" s="104"/>
      <c r="R98" s="105"/>
      <c r="S98" s="104"/>
      <c r="T98" s="105"/>
      <c r="W98" s="18"/>
      <c r="X98" s="104"/>
      <c r="Y98" s="104"/>
      <c r="Z98" s="104"/>
      <c r="AA98" s="105"/>
      <c r="AB98" s="104"/>
      <c r="AC98" s="105"/>
      <c r="AD98" s="104"/>
      <c r="AE98" s="105"/>
    </row>
    <row r="99" spans="1:31" x14ac:dyDescent="0.25">
      <c r="A99" s="17"/>
      <c r="B99" s="99"/>
      <c r="C99" s="100"/>
      <c r="D99" s="100"/>
      <c r="E99" s="101"/>
      <c r="F99" s="100"/>
      <c r="G99" s="100"/>
      <c r="H99" s="99"/>
      <c r="I99" s="101"/>
      <c r="L99" s="17"/>
      <c r="M99" s="99"/>
      <c r="N99" s="100"/>
      <c r="O99" s="100"/>
      <c r="P99" s="101"/>
      <c r="Q99" s="100"/>
      <c r="R99" s="100"/>
      <c r="S99" s="99"/>
      <c r="T99" s="101"/>
      <c r="W99" s="17"/>
      <c r="X99" s="99"/>
      <c r="Y99" s="100"/>
      <c r="Z99" s="100"/>
      <c r="AA99" s="101"/>
      <c r="AB99" s="100"/>
      <c r="AC99" s="100"/>
      <c r="AD99" s="99"/>
      <c r="AE99" s="101"/>
    </row>
    <row r="100" spans="1:31" x14ac:dyDescent="0.25">
      <c r="A100" s="19"/>
      <c r="B100" s="102"/>
      <c r="C100" s="102"/>
      <c r="D100" s="102"/>
      <c r="E100" s="103"/>
      <c r="F100" s="102"/>
      <c r="G100" s="103"/>
      <c r="H100" s="102"/>
      <c r="I100" s="103"/>
      <c r="L100" s="19"/>
      <c r="M100" s="102"/>
      <c r="N100" s="102"/>
      <c r="O100" s="102"/>
      <c r="P100" s="103"/>
      <c r="Q100" s="102"/>
      <c r="R100" s="103"/>
      <c r="S100" s="102"/>
      <c r="T100" s="103"/>
      <c r="W100" s="19"/>
      <c r="X100" s="102"/>
      <c r="Y100" s="102"/>
      <c r="Z100" s="102"/>
      <c r="AA100" s="103"/>
      <c r="AB100" s="102"/>
      <c r="AC100" s="103"/>
      <c r="AD100" s="102"/>
      <c r="AE100" s="103"/>
    </row>
    <row r="101" spans="1:31" x14ac:dyDescent="0.25">
      <c r="A101" s="17"/>
      <c r="B101" s="99"/>
      <c r="C101" s="100"/>
      <c r="D101" s="100"/>
      <c r="E101" s="101"/>
      <c r="F101" s="100"/>
      <c r="G101" s="100"/>
      <c r="H101" s="99"/>
      <c r="I101" s="101"/>
      <c r="L101" s="17"/>
      <c r="M101" s="99"/>
      <c r="N101" s="100"/>
      <c r="O101" s="100"/>
      <c r="P101" s="101"/>
      <c r="Q101" s="100"/>
      <c r="R101" s="100"/>
      <c r="S101" s="99"/>
      <c r="T101" s="101"/>
      <c r="W101" s="17"/>
      <c r="X101" s="99"/>
      <c r="Y101" s="100"/>
      <c r="Z101" s="100"/>
      <c r="AA101" s="101"/>
      <c r="AB101" s="100"/>
      <c r="AC101" s="100"/>
      <c r="AD101" s="99"/>
      <c r="AE101" s="101"/>
    </row>
    <row r="102" spans="1:31" x14ac:dyDescent="0.25">
      <c r="A102" s="19"/>
      <c r="B102" s="102"/>
      <c r="C102" s="102"/>
      <c r="D102" s="102"/>
      <c r="E102" s="103"/>
      <c r="F102" s="102"/>
      <c r="G102" s="103"/>
      <c r="H102" s="102"/>
      <c r="I102" s="103"/>
      <c r="L102" s="19"/>
      <c r="M102" s="102"/>
      <c r="N102" s="102"/>
      <c r="O102" s="102"/>
      <c r="P102" s="103"/>
      <c r="Q102" s="102"/>
      <c r="R102" s="103"/>
      <c r="S102" s="102"/>
      <c r="T102" s="103"/>
      <c r="W102" s="19"/>
      <c r="X102" s="102"/>
      <c r="Y102" s="102"/>
      <c r="Z102" s="102"/>
      <c r="AA102" s="103"/>
      <c r="AB102" s="102"/>
      <c r="AC102" s="103"/>
      <c r="AD102" s="102"/>
      <c r="AE102" s="103"/>
    </row>
    <row r="103" spans="1:31" x14ac:dyDescent="0.25">
      <c r="A103" s="19"/>
      <c r="B103" s="102"/>
      <c r="C103" s="102"/>
      <c r="D103" s="102"/>
      <c r="E103" s="103"/>
      <c r="F103" s="102"/>
      <c r="G103" s="103"/>
      <c r="H103" s="102"/>
      <c r="I103" s="103"/>
      <c r="L103" s="19"/>
      <c r="M103" s="102"/>
      <c r="N103" s="102"/>
      <c r="O103" s="102"/>
      <c r="P103" s="103"/>
      <c r="Q103" s="102"/>
      <c r="R103" s="103"/>
      <c r="S103" s="102"/>
      <c r="T103" s="103"/>
      <c r="W103" s="19"/>
      <c r="X103" s="102"/>
      <c r="Y103" s="102"/>
      <c r="Z103" s="102"/>
      <c r="AA103" s="103"/>
      <c r="AB103" s="102"/>
      <c r="AC103" s="103"/>
      <c r="AD103" s="102"/>
      <c r="AE103" s="103"/>
    </row>
    <row r="104" spans="1:31" x14ac:dyDescent="0.25">
      <c r="A104" s="18"/>
      <c r="B104" s="104"/>
      <c r="C104" s="104"/>
      <c r="D104" s="104"/>
      <c r="E104" s="105"/>
      <c r="F104" s="104"/>
      <c r="G104" s="105"/>
      <c r="H104" s="104"/>
      <c r="I104" s="105"/>
      <c r="L104" s="18"/>
      <c r="M104" s="104"/>
      <c r="N104" s="104"/>
      <c r="O104" s="104"/>
      <c r="P104" s="105"/>
      <c r="Q104" s="104"/>
      <c r="R104" s="105"/>
      <c r="S104" s="104"/>
      <c r="T104" s="105"/>
      <c r="W104" s="18"/>
      <c r="X104" s="104"/>
      <c r="Y104" s="104"/>
      <c r="Z104" s="104"/>
      <c r="AA104" s="105"/>
      <c r="AB104" s="104"/>
      <c r="AC104" s="105"/>
      <c r="AD104" s="104"/>
      <c r="AE104" s="105"/>
    </row>
    <row r="105" spans="1:31" x14ac:dyDescent="0.25">
      <c r="A105" s="17"/>
      <c r="B105" s="99"/>
      <c r="C105" s="100"/>
      <c r="D105" s="100"/>
      <c r="E105" s="101"/>
      <c r="F105" s="100"/>
      <c r="G105" s="100"/>
      <c r="H105" s="99"/>
      <c r="I105" s="101"/>
      <c r="L105" s="17"/>
      <c r="M105" s="99"/>
      <c r="N105" s="100"/>
      <c r="O105" s="100"/>
      <c r="P105" s="101"/>
      <c r="Q105" s="100"/>
      <c r="R105" s="100"/>
      <c r="S105" s="99"/>
      <c r="T105" s="101"/>
      <c r="W105" s="17"/>
      <c r="X105" s="99"/>
      <c r="Y105" s="100"/>
      <c r="Z105" s="100"/>
      <c r="AA105" s="101"/>
      <c r="AB105" s="100"/>
      <c r="AC105" s="100"/>
      <c r="AD105" s="99"/>
      <c r="AE105" s="101"/>
    </row>
    <row r="106" spans="1:31" x14ac:dyDescent="0.25">
      <c r="A106" s="19"/>
      <c r="B106" s="102"/>
      <c r="C106" s="102"/>
      <c r="D106" s="102"/>
      <c r="E106" s="103"/>
      <c r="F106" s="102"/>
      <c r="G106" s="103"/>
      <c r="H106" s="102"/>
      <c r="I106" s="103"/>
      <c r="L106" s="19"/>
      <c r="M106" s="102"/>
      <c r="N106" s="102"/>
      <c r="O106" s="102"/>
      <c r="P106" s="103"/>
      <c r="Q106" s="102"/>
      <c r="R106" s="103"/>
      <c r="S106" s="102"/>
      <c r="T106" s="103"/>
      <c r="W106" s="19"/>
      <c r="X106" s="102"/>
      <c r="Y106" s="102"/>
      <c r="Z106" s="102"/>
      <c r="AA106" s="103"/>
      <c r="AB106" s="102"/>
      <c r="AC106" s="103"/>
      <c r="AD106" s="102"/>
      <c r="AE106" s="103"/>
    </row>
    <row r="107" spans="1:31" x14ac:dyDescent="0.25">
      <c r="A107" s="19"/>
      <c r="B107" s="102"/>
      <c r="C107" s="102"/>
      <c r="D107" s="102"/>
      <c r="E107" s="103"/>
      <c r="F107" s="102"/>
      <c r="G107" s="103"/>
      <c r="H107" s="102"/>
      <c r="I107" s="103"/>
      <c r="L107" s="19"/>
      <c r="M107" s="102"/>
      <c r="N107" s="102"/>
      <c r="O107" s="102"/>
      <c r="P107" s="103"/>
      <c r="Q107" s="102"/>
      <c r="R107" s="103"/>
      <c r="S107" s="102"/>
      <c r="T107" s="103"/>
      <c r="W107" s="19"/>
      <c r="X107" s="102"/>
      <c r="Y107" s="102"/>
      <c r="Z107" s="102"/>
      <c r="AA107" s="103"/>
      <c r="AB107" s="102"/>
      <c r="AC107" s="103"/>
      <c r="AD107" s="102"/>
      <c r="AE107" s="103"/>
    </row>
    <row r="108" spans="1:31" x14ac:dyDescent="0.25">
      <c r="A108" s="19"/>
      <c r="B108" s="102"/>
      <c r="C108" s="102"/>
      <c r="D108" s="102"/>
      <c r="E108" s="103"/>
      <c r="F108" s="102"/>
      <c r="G108" s="103"/>
      <c r="H108" s="102"/>
      <c r="I108" s="103"/>
      <c r="L108" s="19"/>
      <c r="M108" s="102"/>
      <c r="N108" s="102"/>
      <c r="O108" s="102"/>
      <c r="P108" s="103"/>
      <c r="Q108" s="102"/>
      <c r="R108" s="103"/>
      <c r="S108" s="102"/>
      <c r="T108" s="103"/>
      <c r="W108" s="19"/>
      <c r="X108" s="102"/>
      <c r="Y108" s="102"/>
      <c r="Z108" s="102"/>
      <c r="AA108" s="103"/>
      <c r="AB108" s="102"/>
      <c r="AC108" s="103"/>
      <c r="AD108" s="102"/>
      <c r="AE108" s="103"/>
    </row>
    <row r="109" spans="1:31" x14ac:dyDescent="0.25">
      <c r="A109" s="19"/>
      <c r="B109" s="102"/>
      <c r="C109" s="102"/>
      <c r="D109" s="102"/>
      <c r="E109" s="103"/>
      <c r="F109" s="102"/>
      <c r="G109" s="103"/>
      <c r="H109" s="102"/>
      <c r="I109" s="103"/>
      <c r="L109" s="19"/>
      <c r="M109" s="102"/>
      <c r="N109" s="102"/>
      <c r="O109" s="102"/>
      <c r="P109" s="103"/>
      <c r="Q109" s="102"/>
      <c r="R109" s="103"/>
      <c r="S109" s="102"/>
      <c r="T109" s="103"/>
      <c r="W109" s="19"/>
      <c r="X109" s="102"/>
      <c r="Y109" s="102"/>
      <c r="Z109" s="102"/>
      <c r="AA109" s="103"/>
      <c r="AB109" s="102"/>
      <c r="AC109" s="103"/>
      <c r="AD109" s="102"/>
      <c r="AE109" s="103"/>
    </row>
    <row r="110" spans="1:31" x14ac:dyDescent="0.25">
      <c r="A110" s="19"/>
      <c r="B110" s="102"/>
      <c r="C110" s="102"/>
      <c r="D110" s="102"/>
      <c r="E110" s="103"/>
      <c r="F110" s="102"/>
      <c r="G110" s="103"/>
      <c r="H110" s="102"/>
      <c r="I110" s="147"/>
      <c r="L110" s="19"/>
      <c r="M110" s="102"/>
      <c r="N110" s="102"/>
      <c r="O110" s="102"/>
      <c r="P110" s="103"/>
      <c r="Q110" s="102"/>
      <c r="R110" s="103"/>
      <c r="S110" s="102"/>
      <c r="T110" s="147"/>
      <c r="W110" s="19"/>
      <c r="X110" s="102"/>
      <c r="Y110" s="102"/>
      <c r="Z110" s="102"/>
      <c r="AA110" s="103"/>
      <c r="AB110" s="102"/>
      <c r="AC110" s="103"/>
      <c r="AD110" s="102"/>
      <c r="AE110" s="147"/>
    </row>
    <row r="111" spans="1:31" x14ac:dyDescent="0.25">
      <c r="A111" s="129"/>
      <c r="B111" s="129"/>
      <c r="C111" s="129"/>
      <c r="D111" s="129"/>
      <c r="E111" s="129"/>
      <c r="F111" s="129"/>
      <c r="G111" s="129"/>
      <c r="H111" s="129"/>
      <c r="I111" s="129"/>
      <c r="L111" s="129"/>
      <c r="M111" s="129"/>
      <c r="N111" s="129"/>
      <c r="O111" s="129"/>
      <c r="P111" s="129"/>
      <c r="Q111" s="129"/>
      <c r="R111" s="129"/>
      <c r="S111" s="129"/>
      <c r="T111" s="129"/>
      <c r="W111" s="129"/>
      <c r="X111" s="129"/>
      <c r="Y111" s="129"/>
      <c r="Z111" s="129"/>
      <c r="AA111" s="129"/>
      <c r="AB111" s="129"/>
      <c r="AC111" s="129"/>
      <c r="AD111" s="129"/>
      <c r="AE111" s="129"/>
    </row>
    <row r="112" spans="1:31" x14ac:dyDescent="0.25">
      <c r="A112" s="130" t="s">
        <v>85</v>
      </c>
      <c r="B112" s="131"/>
      <c r="C112" s="136" t="s">
        <v>86</v>
      </c>
      <c r="D112" s="137"/>
      <c r="E112" s="56" t="s">
        <v>164</v>
      </c>
      <c r="F112" s="145">
        <f>IF(ISBLANK(F88),"",IF(ISERROR(VLOOKUP(F88,PAPELERIA_PAPEL_Y_LÁPIZ,13,FALSE)),"El dato no existe",VLOOKUP(F88,PAPELERIA_PAPEL_Y_LÁPIZ,13,FALSE)))</f>
        <v>229009</v>
      </c>
      <c r="G112" s="145"/>
      <c r="H112" s="145"/>
      <c r="I112" s="146"/>
      <c r="L112" s="130" t="s">
        <v>85</v>
      </c>
      <c r="M112" s="131"/>
      <c r="N112" s="136" t="s">
        <v>86</v>
      </c>
      <c r="O112" s="137"/>
      <c r="P112" s="56" t="s">
        <v>164</v>
      </c>
      <c r="Q112" s="145">
        <f>IF(ISBLANK(Q88),"",IF(ISERROR(VLOOKUP(Q88,PAPELERIA_PAPEL_Y_LÁPIZ,13,FALSE)),"El dato no existe",VLOOKUP(Q88,PAPELERIA_PAPEL_Y_LÁPIZ,13,FALSE)))</f>
        <v>66468</v>
      </c>
      <c r="R112" s="145"/>
      <c r="S112" s="145"/>
      <c r="T112" s="146"/>
      <c r="W112" s="130" t="s">
        <v>85</v>
      </c>
      <c r="X112" s="131"/>
      <c r="Y112" s="136" t="s">
        <v>86</v>
      </c>
      <c r="Z112" s="137"/>
      <c r="AA112" s="56" t="s">
        <v>164</v>
      </c>
      <c r="AB112" s="145">
        <f>IF(ISBLANK(AB88),"",IF(ISERROR(VLOOKUP(AB88,PAPELERIA_PAPEL_Y_LÁPIZ,13,FALSE)),"El dato no existe",VLOOKUP(AB88,PAPELERIA_PAPEL_Y_LÁPIZ,13,FALSE)))</f>
        <v>595920</v>
      </c>
      <c r="AC112" s="145"/>
      <c r="AD112" s="145"/>
      <c r="AE112" s="146"/>
    </row>
    <row r="113" spans="1:31" x14ac:dyDescent="0.25">
      <c r="A113" s="132"/>
      <c r="B113" s="133"/>
      <c r="C113" s="138"/>
      <c r="D113" s="139"/>
      <c r="E113" s="140"/>
      <c r="F113" s="141"/>
      <c r="G113" s="141"/>
      <c r="H113" s="141"/>
      <c r="I113" s="142"/>
      <c r="L113" s="132"/>
      <c r="M113" s="133"/>
      <c r="N113" s="138"/>
      <c r="O113" s="139"/>
      <c r="P113" s="140"/>
      <c r="Q113" s="141"/>
      <c r="R113" s="141"/>
      <c r="S113" s="141"/>
      <c r="T113" s="142"/>
      <c r="W113" s="132"/>
      <c r="X113" s="133"/>
      <c r="Y113" s="138"/>
      <c r="Z113" s="139"/>
      <c r="AA113" s="140"/>
      <c r="AB113" s="141"/>
      <c r="AC113" s="141"/>
      <c r="AD113" s="141"/>
      <c r="AE113" s="142"/>
    </row>
    <row r="114" spans="1:31" x14ac:dyDescent="0.25">
      <c r="A114" s="134"/>
      <c r="B114" s="135"/>
      <c r="C114" s="143" t="s">
        <v>87</v>
      </c>
      <c r="D114" s="144"/>
      <c r="E114" s="56"/>
      <c r="F114" s="145">
        <f>IF(ISBLANK(F88),"",IF(ISERROR(VLOOKUP(F88,PAPELERIA_PAPEL_Y_LÁPIZ,16,FALSE)),"El dato no existe",VLOOKUP(F88,PAPELERIA_PAPEL_Y_LÁPIZ,16,FALSE)))</f>
        <v>264505.39500000002</v>
      </c>
      <c r="G114" s="145"/>
      <c r="H114" s="145"/>
      <c r="I114" s="146"/>
      <c r="L114" s="134"/>
      <c r="M114" s="135"/>
      <c r="N114" s="143" t="s">
        <v>87</v>
      </c>
      <c r="O114" s="144"/>
      <c r="P114" s="56"/>
      <c r="Q114" s="145">
        <f>IF(ISBLANK(Q88),"",IF(ISERROR(VLOOKUP(Q88,PAPELERIA_PAPEL_Y_LÁPIZ,16,FALSE)),"El dato no existe",VLOOKUP(Q88,PAPELERIA_PAPEL_Y_LÁPIZ,16,FALSE)))</f>
        <v>64141.62</v>
      </c>
      <c r="R114" s="145"/>
      <c r="S114" s="145"/>
      <c r="T114" s="146"/>
      <c r="W114" s="134"/>
      <c r="X114" s="135"/>
      <c r="Y114" s="143" t="s">
        <v>87</v>
      </c>
      <c r="Z114" s="144"/>
      <c r="AA114" s="56"/>
      <c r="AB114" s="145">
        <f>IF(ISBLANK(AB88),"",IF(ISERROR(VLOOKUP(AB88,PAPELERIA_PAPEL_Y_LÁPIZ,16,FALSE)),"El dato no existe",VLOOKUP(AB88,PAPELERIA_PAPEL_Y_LÁPIZ,16,FALSE)))</f>
        <v>709144.8</v>
      </c>
      <c r="AC114" s="145"/>
      <c r="AD114" s="145"/>
      <c r="AE114" s="146"/>
    </row>
    <row r="117" spans="1:31" x14ac:dyDescent="0.25">
      <c r="A117" s="110" t="s">
        <v>96</v>
      </c>
      <c r="B117" s="111"/>
      <c r="C117" s="111"/>
      <c r="D117" s="112"/>
      <c r="E117" s="116" t="s">
        <v>78</v>
      </c>
      <c r="F117" s="118">
        <v>705</v>
      </c>
      <c r="G117" s="118"/>
      <c r="H117" s="118"/>
      <c r="I117" s="118"/>
      <c r="L117" s="110" t="s">
        <v>96</v>
      </c>
      <c r="M117" s="111"/>
      <c r="N117" s="111"/>
      <c r="O117" s="112"/>
      <c r="P117" s="116" t="s">
        <v>78</v>
      </c>
      <c r="Q117" s="118">
        <v>715</v>
      </c>
      <c r="R117" s="118"/>
      <c r="S117" s="118"/>
      <c r="T117" s="118"/>
      <c r="W117" s="110" t="s">
        <v>96</v>
      </c>
      <c r="X117" s="111"/>
      <c r="Y117" s="111"/>
      <c r="Z117" s="112"/>
      <c r="AA117" s="116" t="s">
        <v>78</v>
      </c>
      <c r="AB117" s="118">
        <v>725</v>
      </c>
      <c r="AC117" s="118"/>
      <c r="AD117" s="118"/>
      <c r="AE117" s="118"/>
    </row>
    <row r="118" spans="1:31" x14ac:dyDescent="0.25">
      <c r="A118" s="113"/>
      <c r="B118" s="114"/>
      <c r="C118" s="114"/>
      <c r="D118" s="115"/>
      <c r="E118" s="117"/>
      <c r="F118" s="118"/>
      <c r="G118" s="118"/>
      <c r="H118" s="118"/>
      <c r="I118" s="118"/>
      <c r="L118" s="113"/>
      <c r="M118" s="114"/>
      <c r="N118" s="114"/>
      <c r="O118" s="115"/>
      <c r="P118" s="117"/>
      <c r="Q118" s="118"/>
      <c r="R118" s="118"/>
      <c r="S118" s="118"/>
      <c r="T118" s="118"/>
      <c r="W118" s="113"/>
      <c r="X118" s="114"/>
      <c r="Y118" s="114"/>
      <c r="Z118" s="115"/>
      <c r="AA118" s="117"/>
      <c r="AB118" s="118"/>
      <c r="AC118" s="118"/>
      <c r="AD118" s="118"/>
      <c r="AE118" s="118"/>
    </row>
    <row r="119" spans="1:31" x14ac:dyDescent="0.25">
      <c r="A119" s="119" t="s">
        <v>3</v>
      </c>
      <c r="B119" s="121" t="str">
        <f>IF(ISBLANK(F117),"",IF(ISERROR(VLOOKUP(F117,PAPELERIA_PAPEL_Y_LÁPIZ,3,FALSE)),"El dato no existe",VLOOKUP(F117,PAPELERIA_PAPEL_Y_LÁPIZ,3,FALSE)))</f>
        <v>UNIVERSIDAD CATÓLICA LUIS AMIGÓ</v>
      </c>
      <c r="C119" s="121"/>
      <c r="D119" s="121"/>
      <c r="E119" s="122"/>
      <c r="F119" s="125" t="s">
        <v>79</v>
      </c>
      <c r="G119" s="125"/>
      <c r="H119" s="125"/>
      <c r="I119" s="126"/>
      <c r="L119" s="119" t="s">
        <v>3</v>
      </c>
      <c r="M119" s="121" t="str">
        <f>IF(ISBLANK(Q117),"",IF(ISERROR(VLOOKUP(Q117,PAPELERIA_PAPEL_Y_LÁPIZ,3,FALSE)),"El dato no existe",VLOOKUP(Q117,PAPELERIA_PAPEL_Y_LÁPIZ,3,FALSE)))</f>
        <v>CASA DE LA CULTURA PEDRITO RUIZ</v>
      </c>
      <c r="N119" s="121"/>
      <c r="O119" s="121"/>
      <c r="P119" s="122"/>
      <c r="Q119" s="125" t="s">
        <v>79</v>
      </c>
      <c r="R119" s="125"/>
      <c r="S119" s="125"/>
      <c r="T119" s="126"/>
      <c r="W119" s="119" t="s">
        <v>3</v>
      </c>
      <c r="X119" s="121" t="str">
        <f>IF(ISBLANK(AB117),"",IF(ISERROR(VLOOKUP(AB117,PAPELERIA_PAPEL_Y_LÁPIZ,3,FALSE)),"El dato no existe",VLOOKUP(AB117,PAPELERIA_PAPEL_Y_LÁPIZ,3,FALSE)))</f>
        <v>UNIVERSIDAD EAFIT</v>
      </c>
      <c r="Y119" s="121"/>
      <c r="Z119" s="121"/>
      <c r="AA119" s="122"/>
      <c r="AB119" s="125" t="s">
        <v>79</v>
      </c>
      <c r="AC119" s="125"/>
      <c r="AD119" s="125"/>
      <c r="AE119" s="126"/>
    </row>
    <row r="120" spans="1:31" x14ac:dyDescent="0.25">
      <c r="A120" s="120"/>
      <c r="B120" s="123"/>
      <c r="C120" s="123"/>
      <c r="D120" s="123"/>
      <c r="E120" s="124"/>
      <c r="F120" s="127">
        <v>26</v>
      </c>
      <c r="G120" s="128"/>
      <c r="H120" s="30">
        <v>11</v>
      </c>
      <c r="I120" s="28">
        <v>2018</v>
      </c>
      <c r="L120" s="120"/>
      <c r="M120" s="123"/>
      <c r="N120" s="123"/>
      <c r="O120" s="123"/>
      <c r="P120" s="124"/>
      <c r="Q120" s="127">
        <v>26</v>
      </c>
      <c r="R120" s="128"/>
      <c r="S120" s="30">
        <v>11</v>
      </c>
      <c r="T120" s="28">
        <v>2018</v>
      </c>
      <c r="W120" s="120"/>
      <c r="X120" s="123"/>
      <c r="Y120" s="123"/>
      <c r="Z120" s="123"/>
      <c r="AA120" s="124"/>
      <c r="AB120" s="127">
        <v>26</v>
      </c>
      <c r="AC120" s="128"/>
      <c r="AD120" s="30">
        <v>11</v>
      </c>
      <c r="AE120" s="28">
        <v>2018</v>
      </c>
    </row>
    <row r="121" spans="1:31" x14ac:dyDescent="0.25">
      <c r="A121" s="29" t="s">
        <v>95</v>
      </c>
      <c r="B121" s="94" t="str">
        <f>IF(ISBLANK(F117),"",IF(ISERROR(VLOOKUP(F117,PAPELERIA_PAPEL_Y_LÁPIZ,2,FALSE)),"El dato no existe",VLOOKUP(F117,PAPELERIA_PAPEL_Y_LÁPIZ,2,FALSE)))</f>
        <v>890203706-2</v>
      </c>
      <c r="C121" s="95"/>
      <c r="D121" s="29" t="s">
        <v>94</v>
      </c>
      <c r="E121" s="93" t="str">
        <f>IF(ISBLANK(F117),"",IF(ISERROR(VLOOKUP(F117,PAPELERIA_PAPEL_Y_LÁPIZ,5,FALSE)),"El dato no existe",VLOOKUP(F117,PAPELERIA_PAPEL_Y_LÁPIZ,5,FALSE)))</f>
        <v>Calle 10 N° 3-95</v>
      </c>
      <c r="F121" s="93"/>
      <c r="G121" s="93"/>
      <c r="H121" s="93"/>
      <c r="I121" s="93"/>
      <c r="L121" s="29" t="s">
        <v>95</v>
      </c>
      <c r="M121" s="94" t="str">
        <f>IF(ISBLANK(Q117),"",IF(ISERROR(VLOOKUP(Q117,PAPELERIA_PAPEL_Y_LÁPIZ,2,FALSE)),"El dato no existe",VLOOKUP(Q117,PAPELERIA_PAPEL_Y_LÁPIZ,2,FALSE)))</f>
        <v>8607108517-8</v>
      </c>
      <c r="N121" s="95"/>
      <c r="O121" s="29" t="s">
        <v>94</v>
      </c>
      <c r="P121" s="93" t="str">
        <f>IF(ISBLANK(Q117),"",IF(ISERROR(VLOOKUP(Q117,PAPELERIA_PAPEL_Y_LÁPIZ,5,FALSE)),"El dato no existe",VLOOKUP(Q117,PAPELERIA_PAPEL_Y_LÁPIZ,5,FALSE)))</f>
        <v>Carrera 9 N° 45 A-44</v>
      </c>
      <c r="Q121" s="93"/>
      <c r="R121" s="93"/>
      <c r="S121" s="93"/>
      <c r="T121" s="93"/>
      <c r="W121" s="29" t="s">
        <v>95</v>
      </c>
      <c r="X121" s="94" t="str">
        <f>IF(ISBLANK(AB117),"",IF(ISERROR(VLOOKUP(AB117,PAPELERIA_PAPEL_Y_LÁPIZ,2,FALSE)),"El dato no existe",VLOOKUP(AB117,PAPELERIA_PAPEL_Y_LÁPIZ,2,FALSE)))</f>
        <v>8902704562-5</v>
      </c>
      <c r="Y121" s="95"/>
      <c r="Z121" s="29" t="s">
        <v>94</v>
      </c>
      <c r="AA121" s="93" t="str">
        <f>IF(ISBLANK(AB117),"",IF(ISERROR(VLOOKUP(AB117,PAPELERIA_PAPEL_Y_LÁPIZ,5,FALSE)),"El dato no existe",VLOOKUP(AB117,PAPELERIA_PAPEL_Y_LÁPIZ,5,FALSE)))</f>
        <v>Calle 67 N° 5-27</v>
      </c>
      <c r="AB121" s="93"/>
      <c r="AC121" s="93"/>
      <c r="AD121" s="93"/>
      <c r="AE121" s="93"/>
    </row>
    <row r="122" spans="1:31" x14ac:dyDescent="0.25">
      <c r="A122" s="31" t="s">
        <v>80</v>
      </c>
      <c r="B122" s="94">
        <f>IF(ISBLANK(F117),"",IF(ISERROR(VLOOKUP(F117,PAPELERIA_PAPEL_Y_LÁPIZ,4,FALSE)),"El dato no existe",VLOOKUP(F117,PAPELERIA_PAPEL_Y_LÁPIZ,4,FALSE)))</f>
        <v>6525202</v>
      </c>
      <c r="C122" s="95"/>
      <c r="D122" s="91" t="s">
        <v>91</v>
      </c>
      <c r="E122" s="92"/>
      <c r="F122" s="96" t="str">
        <f>IF(ISBLANK(F117),"",IF(ISERROR(VLOOKUP(F117,PAPELERIA_PAPEL_Y_LÁPIZ,17,FALSE)),"El dato no existe",VLOOKUP(F117,PAPELERIA_PAPEL_Y_LÁPIZ,17,FALSE)))</f>
        <v>CRÉDITO</v>
      </c>
      <c r="G122" s="97"/>
      <c r="H122" s="97"/>
      <c r="I122" s="98"/>
      <c r="L122" s="31" t="s">
        <v>80</v>
      </c>
      <c r="M122" s="94">
        <f>IF(ISBLANK(Q117),"",IF(ISERROR(VLOOKUP(Q117,PAPELERIA_PAPEL_Y_LÁPIZ,4,FALSE)),"El dato no existe",VLOOKUP(Q117,PAPELERIA_PAPEL_Y_LÁPIZ,4,FALSE)))</f>
        <v>3232964</v>
      </c>
      <c r="N122" s="95"/>
      <c r="O122" s="91" t="s">
        <v>91</v>
      </c>
      <c r="P122" s="92"/>
      <c r="Q122" s="96" t="str">
        <f>IF(ISBLANK(Q117),"",IF(ISERROR(VLOOKUP(Q117,PAPELERIA_PAPEL_Y_LÁPIZ,17,FALSE)),"El dato no existe",VLOOKUP(Q117,PAPELERIA_PAPEL_Y_LÁPIZ,17,FALSE)))</f>
        <v>CRÉDITO</v>
      </c>
      <c r="R122" s="97"/>
      <c r="S122" s="97"/>
      <c r="T122" s="98"/>
      <c r="W122" s="31" t="s">
        <v>80</v>
      </c>
      <c r="X122" s="94">
        <f>IF(ISBLANK(AB117),"",IF(ISERROR(VLOOKUP(AB117,PAPELERIA_PAPEL_Y_LÁPIZ,4,FALSE)),"El dato no existe",VLOOKUP(AB117,PAPELERIA_PAPEL_Y_LÁPIZ,4,FALSE)))</f>
        <v>3489292</v>
      </c>
      <c r="Y122" s="95"/>
      <c r="Z122" s="91" t="s">
        <v>91</v>
      </c>
      <c r="AA122" s="92"/>
      <c r="AB122" s="96" t="str">
        <f>IF(ISBLANK(AB117),"",IF(ISERROR(VLOOKUP(AB117,PAPELERIA_PAPEL_Y_LÁPIZ,17,FALSE)),"El dato no existe",VLOOKUP(AB117,PAPELERIA_PAPEL_Y_LÁPIZ,17,FALSE)))</f>
        <v>CRÉDITO</v>
      </c>
      <c r="AC122" s="97"/>
      <c r="AD122" s="97"/>
      <c r="AE122" s="98"/>
    </row>
    <row r="123" spans="1:31" x14ac:dyDescent="0.25">
      <c r="A123" s="16" t="s">
        <v>81</v>
      </c>
      <c r="B123" s="86" t="s">
        <v>82</v>
      </c>
      <c r="C123" s="87"/>
      <c r="D123" s="87"/>
      <c r="E123" s="88"/>
      <c r="F123" s="89" t="s">
        <v>83</v>
      </c>
      <c r="G123" s="90"/>
      <c r="H123" s="86" t="s">
        <v>84</v>
      </c>
      <c r="I123" s="88"/>
      <c r="L123" s="16" t="s">
        <v>81</v>
      </c>
      <c r="M123" s="86" t="s">
        <v>82</v>
      </c>
      <c r="N123" s="87"/>
      <c r="O123" s="87"/>
      <c r="P123" s="88"/>
      <c r="Q123" s="89" t="s">
        <v>83</v>
      </c>
      <c r="R123" s="90"/>
      <c r="S123" s="86" t="s">
        <v>84</v>
      </c>
      <c r="T123" s="88"/>
      <c r="W123" s="16" t="s">
        <v>81</v>
      </c>
      <c r="X123" s="86" t="s">
        <v>82</v>
      </c>
      <c r="Y123" s="87"/>
      <c r="Z123" s="87"/>
      <c r="AA123" s="88"/>
      <c r="AB123" s="89" t="s">
        <v>83</v>
      </c>
      <c r="AC123" s="90"/>
      <c r="AD123" s="86" t="s">
        <v>84</v>
      </c>
      <c r="AE123" s="88"/>
    </row>
    <row r="124" spans="1:31" x14ac:dyDescent="0.25">
      <c r="A124" s="17">
        <f>IF(ISBLANK(F117),"",IF(ISERROR(VLOOKUP(F117,PAPELERIA_PAPEL_Y_LÁPIZ,8,FALSE)),"El dato no existe",VLOOKUP(F117,PAPELERIA_PAPEL_Y_LÁPIZ,8,FALSE)))</f>
        <v>43</v>
      </c>
      <c r="B124" s="99" t="str">
        <f>IF(ISBLANK(F117),"",IF(ISERROR(VLOOKUP(F117,PAPELERIA_PAPEL_Y_LÁPIZ,7,FALSE)),"El dato no existe",VLOOKUP(F117,PAPELERIA_PAPEL_Y_LÁPIZ,7,FALSE)))</f>
        <v>CARPETAS PARA ARCHIVO TAMAÑO OFICIO</v>
      </c>
      <c r="C124" s="100"/>
      <c r="D124" s="100"/>
      <c r="E124" s="101"/>
      <c r="F124" s="106">
        <f>IF(ISBLANK(F117),"",IF(ISERROR(VLOOKUP(F117,PAPELERIA_PAPEL_Y_LÁPIZ,10,FALSE)),"El dato no existe",VLOOKUP(F117,PAPELERIA_PAPEL_Y_LÁPIZ,10,FALSE)))</f>
        <v>7100</v>
      </c>
      <c r="G124" s="107"/>
      <c r="H124" s="108">
        <f>IF(ISBLANK(F117),"",IF(ISERROR(VLOOKUP(F117,PAPELERIA_PAPEL_Y_LÁPIZ,11,FALSE)),"El dato no existe",VLOOKUP(F117,PAPELERIA_PAPEL_Y_LÁPIZ,11,FALSE)))</f>
        <v>305300</v>
      </c>
      <c r="I124" s="109"/>
      <c r="L124" s="17">
        <f>IF(ISBLANK(Q117),"",IF(ISERROR(VLOOKUP(Q117,PAPELERIA_PAPEL_Y_LÁPIZ,8,FALSE)),"El dato no existe",VLOOKUP(Q117,PAPELERIA_PAPEL_Y_LÁPIZ,8,FALSE)))</f>
        <v>30</v>
      </c>
      <c r="M124" s="99" t="str">
        <f>IF(ISBLANK(Q117),"",IF(ISERROR(VLOOKUP(Q117,PAPELERIA_PAPEL_Y_LÁPIZ,7,FALSE)),"El dato no existe",VLOOKUP(Q117,PAPELERIA_PAPEL_Y_LÁPIZ,7,FALSE)))</f>
        <v>GRAPADORA MEDIANA</v>
      </c>
      <c r="N124" s="100"/>
      <c r="O124" s="100"/>
      <c r="P124" s="101"/>
      <c r="Q124" s="106">
        <f>IF(ISBLANK(Q117),"",IF(ISERROR(VLOOKUP(Q117,PAPELERIA_PAPEL_Y_LÁPIZ,10,FALSE)),"El dato no existe",VLOOKUP(Q117,PAPELERIA_PAPEL_Y_LÁPIZ,10,FALSE)))</f>
        <v>4708</v>
      </c>
      <c r="R124" s="107"/>
      <c r="S124" s="108">
        <f>IF(ISBLANK(Q117),"",IF(ISERROR(VLOOKUP(Q117,PAPELERIA_PAPEL_Y_LÁPIZ,11,FALSE)),"El dato no existe",VLOOKUP(Q117,PAPELERIA_PAPEL_Y_LÁPIZ,11,FALSE)))</f>
        <v>141240</v>
      </c>
      <c r="T124" s="109"/>
      <c r="W124" s="17">
        <f>IF(ISBLANK(AB117),"",IF(ISERROR(VLOOKUP(AB117,PAPELERIA_PAPEL_Y_LÁPIZ,8,FALSE)),"El dato no existe",VLOOKUP(AB117,PAPELERIA_PAPEL_Y_LÁPIZ,8,FALSE)))</f>
        <v>39</v>
      </c>
      <c r="X124" s="99" t="str">
        <f>IF(ISBLANK(AB117),"",IF(ISERROR(VLOOKUP(AB117,PAPELERIA_PAPEL_Y_LÁPIZ,7,FALSE)),"El dato no existe",VLOOKUP(AB117,PAPELERIA_PAPEL_Y_LÁPIZ,7,FALSE)))</f>
        <v xml:space="preserve">MORRAL </v>
      </c>
      <c r="Y124" s="100"/>
      <c r="Z124" s="100"/>
      <c r="AA124" s="101"/>
      <c r="AB124" s="106">
        <f>IF(ISBLANK(AB117),"",IF(ISERROR(VLOOKUP(AB117,PAPELERIA_PAPEL_Y_LÁPIZ,10,FALSE)),"El dato no existe",VLOOKUP(AB117,PAPELERIA_PAPEL_Y_LÁPIZ,10,FALSE)))</f>
        <v>24000</v>
      </c>
      <c r="AC124" s="107"/>
      <c r="AD124" s="108">
        <f>IF(ISBLANK(AB117),"",IF(ISERROR(VLOOKUP(AB117,PAPELERIA_PAPEL_Y_LÁPIZ,11,FALSE)),"El dato no existe",VLOOKUP(AB117,PAPELERIA_PAPEL_Y_LÁPIZ,11,FALSE)))</f>
        <v>936000</v>
      </c>
      <c r="AE124" s="109"/>
    </row>
    <row r="125" spans="1:31" x14ac:dyDescent="0.25">
      <c r="A125" s="18"/>
      <c r="B125" s="104"/>
      <c r="C125" s="104"/>
      <c r="D125" s="104"/>
      <c r="E125" s="105"/>
      <c r="F125" s="104"/>
      <c r="G125" s="105"/>
      <c r="H125" s="104"/>
      <c r="I125" s="105"/>
      <c r="L125" s="18"/>
      <c r="M125" s="104"/>
      <c r="N125" s="104"/>
      <c r="O125" s="104"/>
      <c r="P125" s="105"/>
      <c r="Q125" s="104"/>
      <c r="R125" s="105"/>
      <c r="S125" s="104"/>
      <c r="T125" s="105"/>
      <c r="W125" s="18"/>
      <c r="X125" s="104"/>
      <c r="Y125" s="104"/>
      <c r="Z125" s="104"/>
      <c r="AA125" s="105"/>
      <c r="AB125" s="104"/>
      <c r="AC125" s="105"/>
      <c r="AD125" s="104"/>
      <c r="AE125" s="105"/>
    </row>
    <row r="126" spans="1:31" x14ac:dyDescent="0.25">
      <c r="A126" s="17"/>
      <c r="B126" s="99"/>
      <c r="C126" s="100"/>
      <c r="D126" s="100"/>
      <c r="E126" s="101"/>
      <c r="F126" s="100"/>
      <c r="G126" s="100"/>
      <c r="H126" s="99"/>
      <c r="I126" s="101"/>
      <c r="L126" s="17"/>
      <c r="M126" s="99"/>
      <c r="N126" s="100"/>
      <c r="O126" s="100"/>
      <c r="P126" s="101"/>
      <c r="Q126" s="100"/>
      <c r="R126" s="100"/>
      <c r="S126" s="99"/>
      <c r="T126" s="101"/>
      <c r="W126" s="17"/>
      <c r="X126" s="99"/>
      <c r="Y126" s="100"/>
      <c r="Z126" s="100"/>
      <c r="AA126" s="101"/>
      <c r="AB126" s="100"/>
      <c r="AC126" s="100"/>
      <c r="AD126" s="99"/>
      <c r="AE126" s="101"/>
    </row>
    <row r="127" spans="1:31" x14ac:dyDescent="0.25">
      <c r="A127" s="18"/>
      <c r="B127" s="104"/>
      <c r="C127" s="104"/>
      <c r="D127" s="104"/>
      <c r="E127" s="105"/>
      <c r="F127" s="104"/>
      <c r="G127" s="105"/>
      <c r="H127" s="104"/>
      <c r="I127" s="105"/>
      <c r="L127" s="18"/>
      <c r="M127" s="104"/>
      <c r="N127" s="104"/>
      <c r="O127" s="104"/>
      <c r="P127" s="105"/>
      <c r="Q127" s="104"/>
      <c r="R127" s="105"/>
      <c r="S127" s="104"/>
      <c r="T127" s="105"/>
      <c r="W127" s="18"/>
      <c r="X127" s="104"/>
      <c r="Y127" s="104"/>
      <c r="Z127" s="104"/>
      <c r="AA127" s="105"/>
      <c r="AB127" s="104"/>
      <c r="AC127" s="105"/>
      <c r="AD127" s="104"/>
      <c r="AE127" s="105"/>
    </row>
    <row r="128" spans="1:31" x14ac:dyDescent="0.25">
      <c r="A128" s="17"/>
      <c r="B128" s="99"/>
      <c r="C128" s="100"/>
      <c r="D128" s="100"/>
      <c r="E128" s="101"/>
      <c r="F128" s="100"/>
      <c r="G128" s="100"/>
      <c r="H128" s="99"/>
      <c r="I128" s="101"/>
      <c r="L128" s="17"/>
      <c r="M128" s="99"/>
      <c r="N128" s="100"/>
      <c r="O128" s="100"/>
      <c r="P128" s="101"/>
      <c r="Q128" s="100"/>
      <c r="R128" s="100"/>
      <c r="S128" s="99"/>
      <c r="T128" s="101"/>
      <c r="W128" s="17"/>
      <c r="X128" s="99"/>
      <c r="Y128" s="100"/>
      <c r="Z128" s="100"/>
      <c r="AA128" s="101"/>
      <c r="AB128" s="100"/>
      <c r="AC128" s="100"/>
      <c r="AD128" s="99"/>
      <c r="AE128" s="101"/>
    </row>
    <row r="129" spans="1:31" x14ac:dyDescent="0.25">
      <c r="A129" s="19"/>
      <c r="B129" s="102"/>
      <c r="C129" s="102"/>
      <c r="D129" s="102"/>
      <c r="E129" s="103"/>
      <c r="F129" s="102"/>
      <c r="G129" s="103"/>
      <c r="H129" s="102"/>
      <c r="I129" s="103"/>
      <c r="L129" s="19"/>
      <c r="M129" s="102"/>
      <c r="N129" s="102"/>
      <c r="O129" s="102"/>
      <c r="P129" s="103"/>
      <c r="Q129" s="102"/>
      <c r="R129" s="103"/>
      <c r="S129" s="102"/>
      <c r="T129" s="103"/>
      <c r="W129" s="19"/>
      <c r="X129" s="102"/>
      <c r="Y129" s="102"/>
      <c r="Z129" s="102"/>
      <c r="AA129" s="103"/>
      <c r="AB129" s="102"/>
      <c r="AC129" s="103"/>
      <c r="AD129" s="102"/>
      <c r="AE129" s="103"/>
    </row>
    <row r="130" spans="1:31" x14ac:dyDescent="0.25">
      <c r="A130" s="17"/>
      <c r="B130" s="99"/>
      <c r="C130" s="100"/>
      <c r="D130" s="100"/>
      <c r="E130" s="101"/>
      <c r="F130" s="100"/>
      <c r="G130" s="100"/>
      <c r="H130" s="99"/>
      <c r="I130" s="101"/>
      <c r="L130" s="17"/>
      <c r="M130" s="99"/>
      <c r="N130" s="100"/>
      <c r="O130" s="100"/>
      <c r="P130" s="101"/>
      <c r="Q130" s="100"/>
      <c r="R130" s="100"/>
      <c r="S130" s="99"/>
      <c r="T130" s="101"/>
      <c r="W130" s="17"/>
      <c r="X130" s="99"/>
      <c r="Y130" s="100"/>
      <c r="Z130" s="100"/>
      <c r="AA130" s="101"/>
      <c r="AB130" s="100"/>
      <c r="AC130" s="100"/>
      <c r="AD130" s="99"/>
      <c r="AE130" s="101"/>
    </row>
    <row r="131" spans="1:31" x14ac:dyDescent="0.25">
      <c r="A131" s="19"/>
      <c r="B131" s="102"/>
      <c r="C131" s="102"/>
      <c r="D131" s="102"/>
      <c r="E131" s="103"/>
      <c r="F131" s="102"/>
      <c r="G131" s="103"/>
      <c r="H131" s="102"/>
      <c r="I131" s="103"/>
      <c r="L131" s="19"/>
      <c r="M131" s="102"/>
      <c r="N131" s="102"/>
      <c r="O131" s="102"/>
      <c r="P131" s="103"/>
      <c r="Q131" s="102"/>
      <c r="R131" s="103"/>
      <c r="S131" s="102"/>
      <c r="T131" s="103"/>
      <c r="W131" s="19"/>
      <c r="X131" s="102"/>
      <c r="Y131" s="102"/>
      <c r="Z131" s="102"/>
      <c r="AA131" s="103"/>
      <c r="AB131" s="102"/>
      <c r="AC131" s="103"/>
      <c r="AD131" s="102"/>
      <c r="AE131" s="103"/>
    </row>
    <row r="132" spans="1:31" x14ac:dyDescent="0.25">
      <c r="A132" s="19"/>
      <c r="B132" s="102"/>
      <c r="C132" s="102"/>
      <c r="D132" s="102"/>
      <c r="E132" s="103"/>
      <c r="F132" s="102"/>
      <c r="G132" s="103"/>
      <c r="H132" s="102"/>
      <c r="I132" s="103"/>
      <c r="L132" s="19"/>
      <c r="M132" s="102"/>
      <c r="N132" s="102"/>
      <c r="O132" s="102"/>
      <c r="P132" s="103"/>
      <c r="Q132" s="102"/>
      <c r="R132" s="103"/>
      <c r="S132" s="102"/>
      <c r="T132" s="103"/>
      <c r="W132" s="19"/>
      <c r="X132" s="102"/>
      <c r="Y132" s="102"/>
      <c r="Z132" s="102"/>
      <c r="AA132" s="103"/>
      <c r="AB132" s="102"/>
      <c r="AC132" s="103"/>
      <c r="AD132" s="102"/>
      <c r="AE132" s="103"/>
    </row>
    <row r="133" spans="1:31" x14ac:dyDescent="0.25">
      <c r="A133" s="18"/>
      <c r="B133" s="104"/>
      <c r="C133" s="104"/>
      <c r="D133" s="104"/>
      <c r="E133" s="105"/>
      <c r="F133" s="104"/>
      <c r="G133" s="105"/>
      <c r="H133" s="104"/>
      <c r="I133" s="105"/>
      <c r="L133" s="18"/>
      <c r="M133" s="104"/>
      <c r="N133" s="104"/>
      <c r="O133" s="104"/>
      <c r="P133" s="105"/>
      <c r="Q133" s="104"/>
      <c r="R133" s="105"/>
      <c r="S133" s="104"/>
      <c r="T133" s="105"/>
      <c r="W133" s="18"/>
      <c r="X133" s="104"/>
      <c r="Y133" s="104"/>
      <c r="Z133" s="104"/>
      <c r="AA133" s="105"/>
      <c r="AB133" s="104"/>
      <c r="AC133" s="105"/>
      <c r="AD133" s="104"/>
      <c r="AE133" s="105"/>
    </row>
    <row r="134" spans="1:31" x14ac:dyDescent="0.25">
      <c r="A134" s="17"/>
      <c r="B134" s="99"/>
      <c r="C134" s="100"/>
      <c r="D134" s="100"/>
      <c r="E134" s="101"/>
      <c r="F134" s="100"/>
      <c r="G134" s="100"/>
      <c r="H134" s="99"/>
      <c r="I134" s="101"/>
      <c r="L134" s="17"/>
      <c r="M134" s="99"/>
      <c r="N134" s="100"/>
      <c r="O134" s="100"/>
      <c r="P134" s="101"/>
      <c r="Q134" s="100"/>
      <c r="R134" s="100"/>
      <c r="S134" s="99"/>
      <c r="T134" s="101"/>
      <c r="W134" s="17"/>
      <c r="X134" s="99"/>
      <c r="Y134" s="100"/>
      <c r="Z134" s="100"/>
      <c r="AA134" s="101"/>
      <c r="AB134" s="100"/>
      <c r="AC134" s="100"/>
      <c r="AD134" s="99"/>
      <c r="AE134" s="101"/>
    </row>
    <row r="135" spans="1:31" x14ac:dyDescent="0.25">
      <c r="A135" s="19"/>
      <c r="B135" s="102"/>
      <c r="C135" s="102"/>
      <c r="D135" s="102"/>
      <c r="E135" s="103"/>
      <c r="F135" s="102"/>
      <c r="G135" s="103"/>
      <c r="H135" s="102"/>
      <c r="I135" s="103"/>
      <c r="L135" s="19"/>
      <c r="M135" s="102"/>
      <c r="N135" s="102"/>
      <c r="O135" s="102"/>
      <c r="P135" s="103"/>
      <c r="Q135" s="102"/>
      <c r="R135" s="103"/>
      <c r="S135" s="102"/>
      <c r="T135" s="103"/>
      <c r="W135" s="19"/>
      <c r="X135" s="102"/>
      <c r="Y135" s="102"/>
      <c r="Z135" s="102"/>
      <c r="AA135" s="103"/>
      <c r="AB135" s="102"/>
      <c r="AC135" s="103"/>
      <c r="AD135" s="102"/>
      <c r="AE135" s="103"/>
    </row>
    <row r="136" spans="1:31" x14ac:dyDescent="0.25">
      <c r="A136" s="19"/>
      <c r="B136" s="102"/>
      <c r="C136" s="102"/>
      <c r="D136" s="102"/>
      <c r="E136" s="103"/>
      <c r="F136" s="102"/>
      <c r="G136" s="103"/>
      <c r="H136" s="102"/>
      <c r="I136" s="103"/>
      <c r="L136" s="19"/>
      <c r="M136" s="102"/>
      <c r="N136" s="102"/>
      <c r="O136" s="102"/>
      <c r="P136" s="103"/>
      <c r="Q136" s="102"/>
      <c r="R136" s="103"/>
      <c r="S136" s="102"/>
      <c r="T136" s="103"/>
      <c r="W136" s="19"/>
      <c r="X136" s="102"/>
      <c r="Y136" s="102"/>
      <c r="Z136" s="102"/>
      <c r="AA136" s="103"/>
      <c r="AB136" s="102"/>
      <c r="AC136" s="103"/>
      <c r="AD136" s="102"/>
      <c r="AE136" s="103"/>
    </row>
    <row r="137" spans="1:31" x14ac:dyDescent="0.25">
      <c r="A137" s="19"/>
      <c r="B137" s="102"/>
      <c r="C137" s="102"/>
      <c r="D137" s="102"/>
      <c r="E137" s="103"/>
      <c r="F137" s="102"/>
      <c r="G137" s="103"/>
      <c r="H137" s="102"/>
      <c r="I137" s="103"/>
      <c r="L137" s="19"/>
      <c r="M137" s="102"/>
      <c r="N137" s="102"/>
      <c r="O137" s="102"/>
      <c r="P137" s="103"/>
      <c r="Q137" s="102"/>
      <c r="R137" s="103"/>
      <c r="S137" s="102"/>
      <c r="T137" s="103"/>
      <c r="W137" s="19"/>
      <c r="X137" s="102"/>
      <c r="Y137" s="102"/>
      <c r="Z137" s="102"/>
      <c r="AA137" s="103"/>
      <c r="AB137" s="102"/>
      <c r="AC137" s="103"/>
      <c r="AD137" s="102"/>
      <c r="AE137" s="103"/>
    </row>
    <row r="138" spans="1:31" x14ac:dyDescent="0.25">
      <c r="A138" s="19"/>
      <c r="B138" s="102"/>
      <c r="C138" s="102"/>
      <c r="D138" s="102"/>
      <c r="E138" s="103"/>
      <c r="F138" s="102"/>
      <c r="G138" s="103"/>
      <c r="H138" s="102"/>
      <c r="I138" s="103"/>
      <c r="L138" s="19"/>
      <c r="M138" s="102"/>
      <c r="N138" s="102"/>
      <c r="O138" s="102"/>
      <c r="P138" s="103"/>
      <c r="Q138" s="102"/>
      <c r="R138" s="103"/>
      <c r="S138" s="102"/>
      <c r="T138" s="103"/>
      <c r="W138" s="19"/>
      <c r="X138" s="102"/>
      <c r="Y138" s="102"/>
      <c r="Z138" s="102"/>
      <c r="AA138" s="103"/>
      <c r="AB138" s="102"/>
      <c r="AC138" s="103"/>
      <c r="AD138" s="102"/>
      <c r="AE138" s="103"/>
    </row>
    <row r="139" spans="1:31" x14ac:dyDescent="0.25">
      <c r="A139" s="19"/>
      <c r="B139" s="102"/>
      <c r="C139" s="102"/>
      <c r="D139" s="102"/>
      <c r="E139" s="103"/>
      <c r="F139" s="102"/>
      <c r="G139" s="103"/>
      <c r="H139" s="102"/>
      <c r="I139" s="147"/>
      <c r="L139" s="19"/>
      <c r="M139" s="102"/>
      <c r="N139" s="102"/>
      <c r="O139" s="102"/>
      <c r="P139" s="103"/>
      <c r="Q139" s="102"/>
      <c r="R139" s="103"/>
      <c r="S139" s="102"/>
      <c r="T139" s="147"/>
      <c r="W139" s="19"/>
      <c r="X139" s="102"/>
      <c r="Y139" s="102"/>
      <c r="Z139" s="102"/>
      <c r="AA139" s="103"/>
      <c r="AB139" s="102"/>
      <c r="AC139" s="103"/>
      <c r="AD139" s="102"/>
      <c r="AE139" s="147"/>
    </row>
    <row r="140" spans="1:31" x14ac:dyDescent="0.25">
      <c r="A140" s="129"/>
      <c r="B140" s="129"/>
      <c r="C140" s="129"/>
      <c r="D140" s="129"/>
      <c r="E140" s="129"/>
      <c r="F140" s="129"/>
      <c r="G140" s="129"/>
      <c r="H140" s="129"/>
      <c r="I140" s="129"/>
      <c r="L140" s="129"/>
      <c r="M140" s="129"/>
      <c r="N140" s="129"/>
      <c r="O140" s="129"/>
      <c r="P140" s="129"/>
      <c r="Q140" s="129"/>
      <c r="R140" s="129"/>
      <c r="S140" s="129"/>
      <c r="T140" s="129"/>
      <c r="W140" s="129"/>
      <c r="X140" s="129"/>
      <c r="Y140" s="129"/>
      <c r="Z140" s="129"/>
      <c r="AA140" s="129"/>
      <c r="AB140" s="129"/>
      <c r="AC140" s="129"/>
      <c r="AD140" s="129"/>
      <c r="AE140" s="129"/>
    </row>
    <row r="141" spans="1:31" x14ac:dyDescent="0.25">
      <c r="A141" s="130" t="s">
        <v>85</v>
      </c>
      <c r="B141" s="131"/>
      <c r="C141" s="136" t="s">
        <v>86</v>
      </c>
      <c r="D141" s="137"/>
      <c r="E141" s="56" t="s">
        <v>164</v>
      </c>
      <c r="F141" s="145">
        <f>IF(ISBLANK(F117),"",IF(ISERROR(VLOOKUP(F117,PAPELERIA_PAPEL_Y_LÁPIZ,13,FALSE)),"El dato no existe",VLOOKUP(F117,PAPELERIA_PAPEL_Y_LÁPIZ,13,FALSE)))</f>
        <v>290035</v>
      </c>
      <c r="G141" s="145"/>
      <c r="H141" s="145"/>
      <c r="I141" s="146"/>
      <c r="L141" s="130" t="s">
        <v>85</v>
      </c>
      <c r="M141" s="131"/>
      <c r="N141" s="136" t="s">
        <v>86</v>
      </c>
      <c r="O141" s="137"/>
      <c r="P141" s="56" t="s">
        <v>164</v>
      </c>
      <c r="Q141" s="145">
        <f>IF(ISBLANK(Q117),"",IF(ISERROR(VLOOKUP(Q117,PAPELERIA_PAPEL_Y_LÁPIZ,13,FALSE)),"El dato no existe",VLOOKUP(Q117,PAPELERIA_PAPEL_Y_LÁPIZ,13,FALSE)))</f>
        <v>134884.20000000001</v>
      </c>
      <c r="R141" s="145"/>
      <c r="S141" s="145"/>
      <c r="T141" s="146"/>
      <c r="W141" s="130" t="s">
        <v>85</v>
      </c>
      <c r="X141" s="131"/>
      <c r="Y141" s="136" t="s">
        <v>86</v>
      </c>
      <c r="Z141" s="137"/>
      <c r="AA141" s="56" t="s">
        <v>164</v>
      </c>
      <c r="AB141" s="145">
        <f>IF(ISBLANK(AB117),"",IF(ISERROR(VLOOKUP(AB117,PAPELERIA_PAPEL_Y_LÁPIZ,13,FALSE)),"El dato no existe",VLOOKUP(AB117,PAPELERIA_PAPEL_Y_LÁPIZ,13,FALSE)))</f>
        <v>889200</v>
      </c>
      <c r="AC141" s="145"/>
      <c r="AD141" s="145"/>
      <c r="AE141" s="146"/>
    </row>
    <row r="142" spans="1:31" x14ac:dyDescent="0.25">
      <c r="A142" s="132"/>
      <c r="B142" s="133"/>
      <c r="C142" s="138"/>
      <c r="D142" s="139"/>
      <c r="E142" s="140"/>
      <c r="F142" s="141"/>
      <c r="G142" s="141"/>
      <c r="H142" s="141"/>
      <c r="I142" s="142"/>
      <c r="L142" s="132"/>
      <c r="M142" s="133"/>
      <c r="N142" s="138"/>
      <c r="O142" s="139"/>
      <c r="P142" s="140"/>
      <c r="Q142" s="141"/>
      <c r="R142" s="141"/>
      <c r="S142" s="141"/>
      <c r="T142" s="142"/>
      <c r="W142" s="132"/>
      <c r="X142" s="133"/>
      <c r="Y142" s="138"/>
      <c r="Z142" s="139"/>
      <c r="AA142" s="140"/>
      <c r="AB142" s="141"/>
      <c r="AC142" s="141"/>
      <c r="AD142" s="141"/>
      <c r="AE142" s="142"/>
    </row>
    <row r="143" spans="1:31" x14ac:dyDescent="0.25">
      <c r="A143" s="134"/>
      <c r="B143" s="135"/>
      <c r="C143" s="143" t="s">
        <v>87</v>
      </c>
      <c r="D143" s="144"/>
      <c r="E143" s="56"/>
      <c r="F143" s="145">
        <f>IF(ISBLANK(F117),"",IF(ISERROR(VLOOKUP(F117,PAPELERIA_PAPEL_Y_LÁPIZ,16,FALSE)),"El dato no existe",VLOOKUP(F117,PAPELERIA_PAPEL_Y_LÁPIZ,16,FALSE)))</f>
        <v>334990.42500000005</v>
      </c>
      <c r="G143" s="145"/>
      <c r="H143" s="145"/>
      <c r="I143" s="146"/>
      <c r="L143" s="134"/>
      <c r="M143" s="135"/>
      <c r="N143" s="143" t="s">
        <v>87</v>
      </c>
      <c r="O143" s="144"/>
      <c r="P143" s="56"/>
      <c r="Q143" s="145">
        <f>IF(ISBLANK(Q117),"",IF(ISERROR(VLOOKUP(Q117,PAPELERIA_PAPEL_Y_LÁPIZ,16,FALSE)),"El dato no existe",VLOOKUP(Q117,PAPELERIA_PAPEL_Y_LÁPIZ,16,FALSE)))</f>
        <v>155791.25099999999</v>
      </c>
      <c r="R143" s="145"/>
      <c r="S143" s="145"/>
      <c r="T143" s="146"/>
      <c r="W143" s="134"/>
      <c r="X143" s="135"/>
      <c r="Y143" s="143" t="s">
        <v>87</v>
      </c>
      <c r="Z143" s="144"/>
      <c r="AA143" s="56"/>
      <c r="AB143" s="145">
        <f>IF(ISBLANK(AB117),"",IF(ISERROR(VLOOKUP(AB117,PAPELERIA_PAPEL_Y_LÁPIZ,16,FALSE)),"El dato no existe",VLOOKUP(AB117,PAPELERIA_PAPEL_Y_LÁPIZ,16,FALSE)))</f>
        <v>1058148</v>
      </c>
      <c r="AC143" s="145"/>
      <c r="AD143" s="145"/>
      <c r="AE143" s="146"/>
    </row>
    <row r="146" spans="1:31" x14ac:dyDescent="0.25">
      <c r="A146" s="110" t="s">
        <v>96</v>
      </c>
      <c r="B146" s="111"/>
      <c r="C146" s="111"/>
      <c r="D146" s="112"/>
      <c r="E146" s="116" t="s">
        <v>78</v>
      </c>
      <c r="F146" s="118">
        <v>706</v>
      </c>
      <c r="G146" s="118"/>
      <c r="H146" s="118"/>
      <c r="I146" s="118"/>
      <c r="L146" s="110" t="s">
        <v>96</v>
      </c>
      <c r="M146" s="111"/>
      <c r="N146" s="111"/>
      <c r="O146" s="112"/>
      <c r="P146" s="116" t="s">
        <v>78</v>
      </c>
      <c r="Q146" s="118">
        <v>716</v>
      </c>
      <c r="R146" s="118"/>
      <c r="S146" s="118"/>
      <c r="T146" s="118"/>
      <c r="W146" s="110" t="s">
        <v>96</v>
      </c>
      <c r="X146" s="111"/>
      <c r="Y146" s="111"/>
      <c r="Z146" s="112"/>
      <c r="AA146" s="116" t="s">
        <v>78</v>
      </c>
      <c r="AB146" s="118">
        <v>726</v>
      </c>
      <c r="AC146" s="118"/>
      <c r="AD146" s="118"/>
      <c r="AE146" s="118"/>
    </row>
    <row r="147" spans="1:31" x14ac:dyDescent="0.25">
      <c r="A147" s="113"/>
      <c r="B147" s="114"/>
      <c r="C147" s="114"/>
      <c r="D147" s="115"/>
      <c r="E147" s="117"/>
      <c r="F147" s="118"/>
      <c r="G147" s="118"/>
      <c r="H147" s="118"/>
      <c r="I147" s="118"/>
      <c r="L147" s="113"/>
      <c r="M147" s="114"/>
      <c r="N147" s="114"/>
      <c r="O147" s="115"/>
      <c r="P147" s="117"/>
      <c r="Q147" s="118"/>
      <c r="R147" s="118"/>
      <c r="S147" s="118"/>
      <c r="T147" s="118"/>
      <c r="W147" s="113"/>
      <c r="X147" s="114"/>
      <c r="Y147" s="114"/>
      <c r="Z147" s="115"/>
      <c r="AA147" s="117"/>
      <c r="AB147" s="118"/>
      <c r="AC147" s="118"/>
      <c r="AD147" s="118"/>
      <c r="AE147" s="118"/>
    </row>
    <row r="148" spans="1:31" x14ac:dyDescent="0.25">
      <c r="A148" s="119" t="s">
        <v>3</v>
      </c>
      <c r="B148" s="121" t="str">
        <f>IF(ISBLANK(F146),"",IF(ISERROR(VLOOKUP(F146,PAPELERIA_PAPEL_Y_LÁPIZ,3,FALSE)),"El dato no existe",VLOOKUP(F146,PAPELERIA_PAPEL_Y_LÁPIZ,3,FALSE)))</f>
        <v>CORPORACIÓN JOHN F.KENNEDY</v>
      </c>
      <c r="C148" s="121"/>
      <c r="D148" s="121"/>
      <c r="E148" s="122"/>
      <c r="F148" s="125" t="s">
        <v>79</v>
      </c>
      <c r="G148" s="125"/>
      <c r="H148" s="125"/>
      <c r="I148" s="126"/>
      <c r="L148" s="119" t="s">
        <v>3</v>
      </c>
      <c r="M148" s="121" t="str">
        <f>IF(ISBLANK(Q146),"",IF(ISERROR(VLOOKUP(Q146,PAPELERIA_PAPEL_Y_LÁPIZ,3,FALSE)),"El dato no existe",VLOOKUP(Q146,PAPELERIA_PAPEL_Y_LÁPIZ,3,FALSE)))</f>
        <v>FUNDACIÓN UNIVERSITARIA SAN MARTIN</v>
      </c>
      <c r="N148" s="121"/>
      <c r="O148" s="121"/>
      <c r="P148" s="122"/>
      <c r="Q148" s="125" t="s">
        <v>79</v>
      </c>
      <c r="R148" s="125"/>
      <c r="S148" s="125"/>
      <c r="T148" s="126"/>
      <c r="W148" s="119" t="s">
        <v>3</v>
      </c>
      <c r="X148" s="121" t="str">
        <f>IF(ISBLANK(AB146),"",IF(ISERROR(VLOOKUP(AB146,PAPELERIA_PAPEL_Y_LÁPIZ,3,FALSE)),"El dato no existe",VLOOKUP(AB146,PAPELERIA_PAPEL_Y_LÁPIZ,3,FALSE)))</f>
        <v>UNIVERSIDAD DE LOS ANDES</v>
      </c>
      <c r="Y148" s="121"/>
      <c r="Z148" s="121"/>
      <c r="AA148" s="122"/>
      <c r="AB148" s="125" t="s">
        <v>79</v>
      </c>
      <c r="AC148" s="125"/>
      <c r="AD148" s="125"/>
      <c r="AE148" s="126"/>
    </row>
    <row r="149" spans="1:31" x14ac:dyDescent="0.25">
      <c r="A149" s="120"/>
      <c r="B149" s="123"/>
      <c r="C149" s="123"/>
      <c r="D149" s="123"/>
      <c r="E149" s="124"/>
      <c r="F149" s="127">
        <v>26</v>
      </c>
      <c r="G149" s="128"/>
      <c r="H149" s="30">
        <v>11</v>
      </c>
      <c r="I149" s="28">
        <v>2018</v>
      </c>
      <c r="L149" s="120"/>
      <c r="M149" s="123"/>
      <c r="N149" s="123"/>
      <c r="O149" s="123"/>
      <c r="P149" s="124"/>
      <c r="Q149" s="127">
        <v>26</v>
      </c>
      <c r="R149" s="128"/>
      <c r="S149" s="30">
        <v>11</v>
      </c>
      <c r="T149" s="28">
        <v>2018</v>
      </c>
      <c r="W149" s="120"/>
      <c r="X149" s="123"/>
      <c r="Y149" s="123"/>
      <c r="Z149" s="123"/>
      <c r="AA149" s="124"/>
      <c r="AB149" s="127">
        <v>26</v>
      </c>
      <c r="AC149" s="128"/>
      <c r="AD149" s="30">
        <v>11</v>
      </c>
      <c r="AE149" s="28">
        <v>2018</v>
      </c>
    </row>
    <row r="150" spans="1:31" x14ac:dyDescent="0.25">
      <c r="A150" s="29" t="s">
        <v>95</v>
      </c>
      <c r="B150" s="94" t="str">
        <f>IF(ISBLANK(F146),"",IF(ISERROR(VLOOKUP(F146,PAPELERIA_PAPEL_Y_LÁPIZ,2,FALSE)),"El dato no existe",VLOOKUP(F146,PAPELERIA_PAPEL_Y_LÁPIZ,2,FALSE)))</f>
        <v>891408248-5</v>
      </c>
      <c r="C150" s="95"/>
      <c r="D150" s="29" t="s">
        <v>94</v>
      </c>
      <c r="E150" s="93" t="str">
        <f>IF(ISBLANK(F146),"",IF(ISERROR(VLOOKUP(F146,PAPELERIA_PAPEL_Y_LÁPIZ,5,FALSE)),"El dato no existe",VLOOKUP(F146,PAPELERIA_PAPEL_Y_LÁPIZ,5,FALSE)))</f>
        <v>Calle 74 N° 11-92</v>
      </c>
      <c r="F150" s="93"/>
      <c r="G150" s="93"/>
      <c r="H150" s="93"/>
      <c r="I150" s="93"/>
      <c r="L150" s="29" t="s">
        <v>95</v>
      </c>
      <c r="M150" s="94" t="str">
        <f>IF(ISBLANK(Q146),"",IF(ISERROR(VLOOKUP(Q146,PAPELERIA_PAPEL_Y_LÁPIZ,2,FALSE)),"El dato no existe",VLOOKUP(Q146,PAPELERIA_PAPEL_Y_LÁPIZ,2,FALSE)))</f>
        <v>891995856-3</v>
      </c>
      <c r="N150" s="95"/>
      <c r="O150" s="29" t="s">
        <v>94</v>
      </c>
      <c r="P150" s="93" t="str">
        <f>IF(ISBLANK(Q146),"",IF(ISERROR(VLOOKUP(Q146,PAPELERIA_PAPEL_Y_LÁPIZ,5,FALSE)),"El dato no existe",VLOOKUP(Q146,PAPELERIA_PAPEL_Y_LÁPIZ,5,FALSE)))</f>
        <v>Carrera 28 N° 19-24</v>
      </c>
      <c r="Q150" s="93"/>
      <c r="R150" s="93"/>
      <c r="S150" s="93"/>
      <c r="T150" s="93"/>
      <c r="W150" s="29" t="s">
        <v>95</v>
      </c>
      <c r="X150" s="94" t="str">
        <f>IF(ISBLANK(AB146),"",IF(ISERROR(VLOOKUP(AB146,PAPELERIA_PAPEL_Y_LÁPIZ,2,FALSE)),"El dato no existe",VLOOKUP(AB146,PAPELERIA_PAPEL_Y_LÁPIZ,2,FALSE)))</f>
        <v>891204706-2</v>
      </c>
      <c r="Y150" s="95"/>
      <c r="Z150" s="29" t="s">
        <v>94</v>
      </c>
      <c r="AA150" s="93" t="str">
        <f>IF(ISBLANK(AB146),"",IF(ISERROR(VLOOKUP(AB146,PAPELERIA_PAPEL_Y_LÁPIZ,5,FALSE)),"El dato no existe",VLOOKUP(AB146,PAPELERIA_PAPEL_Y_LÁPIZ,5,FALSE)))</f>
        <v>Calle 81 B N° 79-155</v>
      </c>
      <c r="AB150" s="93"/>
      <c r="AC150" s="93"/>
      <c r="AD150" s="93"/>
      <c r="AE150" s="93"/>
    </row>
    <row r="151" spans="1:31" x14ac:dyDescent="0.25">
      <c r="A151" s="31" t="s">
        <v>80</v>
      </c>
      <c r="B151" s="94">
        <f>IF(ISBLANK(F146),"",IF(ISERROR(VLOOKUP(F146,PAPELERIA_PAPEL_Y_LÁPIZ,4,FALSE)),"El dato no existe",VLOOKUP(F146,PAPELERIA_PAPEL_Y_LÁPIZ,4,FALSE)))</f>
        <v>6505400</v>
      </c>
      <c r="C151" s="95"/>
      <c r="D151" s="91" t="s">
        <v>91</v>
      </c>
      <c r="E151" s="92"/>
      <c r="F151" s="96" t="str">
        <f>IF(ISBLANK(F146),"",IF(ISERROR(VLOOKUP(F146,PAPELERIA_PAPEL_Y_LÁPIZ,17,FALSE)),"El dato no existe",VLOOKUP(F146,PAPELERIA_PAPEL_Y_LÁPIZ,17,FALSE)))</f>
        <v>CONTADO</v>
      </c>
      <c r="G151" s="97"/>
      <c r="H151" s="97"/>
      <c r="I151" s="98"/>
      <c r="L151" s="31" t="s">
        <v>80</v>
      </c>
      <c r="M151" s="94">
        <f>IF(ISBLANK(Q146),"",IF(ISERROR(VLOOKUP(Q146,PAPELERIA_PAPEL_Y_LÁPIZ,4,FALSE)),"El dato no existe",VLOOKUP(Q146,PAPELERIA_PAPEL_Y_LÁPIZ,4,FALSE)))</f>
        <v>7232452</v>
      </c>
      <c r="N151" s="95"/>
      <c r="O151" s="91" t="s">
        <v>91</v>
      </c>
      <c r="P151" s="92"/>
      <c r="Q151" s="96" t="str">
        <f>IF(ISBLANK(Q146),"",IF(ISERROR(VLOOKUP(Q146,PAPELERIA_PAPEL_Y_LÁPIZ,17,FALSE)),"El dato no existe",VLOOKUP(Q146,PAPELERIA_PAPEL_Y_LÁPIZ,17,FALSE)))</f>
        <v>CONTADO</v>
      </c>
      <c r="R151" s="97"/>
      <c r="S151" s="97"/>
      <c r="T151" s="98"/>
      <c r="W151" s="31" t="s">
        <v>80</v>
      </c>
      <c r="X151" s="94">
        <f>IF(ISBLANK(AB146),"",IF(ISERROR(VLOOKUP(AB146,PAPELERIA_PAPEL_Y_LÁPIZ,4,FALSE)),"El dato no existe",VLOOKUP(AB146,PAPELERIA_PAPEL_Y_LÁPIZ,4,FALSE)))</f>
        <v>2916520</v>
      </c>
      <c r="Y151" s="95"/>
      <c r="Z151" s="91" t="s">
        <v>91</v>
      </c>
      <c r="AA151" s="92"/>
      <c r="AB151" s="96" t="str">
        <f>IF(ISBLANK(AB146),"",IF(ISERROR(VLOOKUP(AB146,PAPELERIA_PAPEL_Y_LÁPIZ,17,FALSE)),"El dato no existe",VLOOKUP(AB146,PAPELERIA_PAPEL_Y_LÁPIZ,17,FALSE)))</f>
        <v>CONTADO</v>
      </c>
      <c r="AC151" s="97"/>
      <c r="AD151" s="97"/>
      <c r="AE151" s="98"/>
    </row>
    <row r="152" spans="1:31" x14ac:dyDescent="0.25">
      <c r="A152" s="16" t="s">
        <v>81</v>
      </c>
      <c r="B152" s="86" t="s">
        <v>82</v>
      </c>
      <c r="C152" s="87"/>
      <c r="D152" s="87"/>
      <c r="E152" s="88"/>
      <c r="F152" s="89" t="s">
        <v>83</v>
      </c>
      <c r="G152" s="90"/>
      <c r="H152" s="86" t="s">
        <v>84</v>
      </c>
      <c r="I152" s="88"/>
      <c r="L152" s="16" t="s">
        <v>81</v>
      </c>
      <c r="M152" s="86" t="s">
        <v>82</v>
      </c>
      <c r="N152" s="87"/>
      <c r="O152" s="87"/>
      <c r="P152" s="88"/>
      <c r="Q152" s="89" t="s">
        <v>83</v>
      </c>
      <c r="R152" s="90"/>
      <c r="S152" s="86" t="s">
        <v>84</v>
      </c>
      <c r="T152" s="88"/>
      <c r="W152" s="16" t="s">
        <v>81</v>
      </c>
      <c r="X152" s="86" t="s">
        <v>82</v>
      </c>
      <c r="Y152" s="87"/>
      <c r="Z152" s="87"/>
      <c r="AA152" s="88"/>
      <c r="AB152" s="89" t="s">
        <v>83</v>
      </c>
      <c r="AC152" s="90"/>
      <c r="AD152" s="86" t="s">
        <v>84</v>
      </c>
      <c r="AE152" s="88"/>
    </row>
    <row r="153" spans="1:31" x14ac:dyDescent="0.25">
      <c r="A153" s="17">
        <f>IF(ISBLANK(F146),"",IF(ISERROR(VLOOKUP(F146,PAPELERIA_PAPEL_Y_LÁPIZ,8,FALSE)),"El dato no existe",VLOOKUP(F146,PAPELERIA_PAPEL_Y_LÁPIZ,8,FALSE)))</f>
        <v>12</v>
      </c>
      <c r="B153" s="99" t="str">
        <f>IF(ISBLANK(F146),"",IF(ISERROR(VLOOKUP(F146,PAPELERIA_PAPEL_Y_LÁPIZ,7,FALSE)),"El dato no existe",VLOOKUP(F146,PAPELERIA_PAPEL_Y_LÁPIZ,7,FALSE)))</f>
        <v>CAJA DE COLORES NORMA</v>
      </c>
      <c r="C153" s="100"/>
      <c r="D153" s="100"/>
      <c r="E153" s="101"/>
      <c r="F153" s="106">
        <f>IF(ISBLANK(F146),"",IF(ISERROR(VLOOKUP(F146,PAPELERIA_PAPEL_Y_LÁPIZ,10,FALSE)),"El dato no existe",VLOOKUP(F146,PAPELERIA_PAPEL_Y_LÁPIZ,10,FALSE)))</f>
        <v>9500</v>
      </c>
      <c r="G153" s="107"/>
      <c r="H153" s="108">
        <f>IF(ISBLANK(F146),"",IF(ISERROR(VLOOKUP(F146,PAPELERIA_PAPEL_Y_LÁPIZ,11,FALSE)),"El dato no existe",VLOOKUP(F146,PAPELERIA_PAPEL_Y_LÁPIZ,11,FALSE)))</f>
        <v>114000</v>
      </c>
      <c r="I153" s="109"/>
      <c r="L153" s="17">
        <f>IF(ISBLANK(Q146),"",IF(ISERROR(VLOOKUP(Q146,PAPELERIA_PAPEL_Y_LÁPIZ,8,FALSE)),"El dato no existe",VLOOKUP(Q146,PAPELERIA_PAPEL_Y_LÁPIZ,8,FALSE)))</f>
        <v>25</v>
      </c>
      <c r="M153" s="99" t="str">
        <f>IF(ISBLANK(Q146),"",IF(ISERROR(VLOOKUP(Q146,PAPELERIA_PAPEL_Y_LÁPIZ,7,FALSE)),"El dato no existe",VLOOKUP(Q146,PAPELERIA_PAPEL_Y_LÁPIZ,7,FALSE)))</f>
        <v>BLOCK TAMAÑO CARTA</v>
      </c>
      <c r="N153" s="100"/>
      <c r="O153" s="100"/>
      <c r="P153" s="101"/>
      <c r="Q153" s="106">
        <f>IF(ISBLANK(Q146),"",IF(ISERROR(VLOOKUP(Q146,PAPELERIA_PAPEL_Y_LÁPIZ,10,FALSE)),"El dato no existe",VLOOKUP(Q146,PAPELERIA_PAPEL_Y_LÁPIZ,10,FALSE)))</f>
        <v>2400</v>
      </c>
      <c r="R153" s="107"/>
      <c r="S153" s="108">
        <f>IF(ISBLANK(Q146),"",IF(ISERROR(VLOOKUP(Q146,PAPELERIA_PAPEL_Y_LÁPIZ,11,FALSE)),"El dato no existe",VLOOKUP(Q146,PAPELERIA_PAPEL_Y_LÁPIZ,11,FALSE)))</f>
        <v>60000</v>
      </c>
      <c r="T153" s="109"/>
      <c r="W153" s="17">
        <f>IF(ISBLANK(AB146),"",IF(ISERROR(VLOOKUP(AB146,PAPELERIA_PAPEL_Y_LÁPIZ,8,FALSE)),"El dato no existe",VLOOKUP(AB146,PAPELERIA_PAPEL_Y_LÁPIZ,8,FALSE)))</f>
        <v>41</v>
      </c>
      <c r="X153" s="99" t="str">
        <f>IF(ISBLANK(AB146),"",IF(ISERROR(VLOOKUP(AB146,PAPELERIA_PAPEL_Y_LÁPIZ,7,FALSE)),"El dato no existe",VLOOKUP(AB146,PAPELERIA_PAPEL_Y_LÁPIZ,7,FALSE)))</f>
        <v xml:space="preserve">CRAYOLAS </v>
      </c>
      <c r="Y153" s="100"/>
      <c r="Z153" s="100"/>
      <c r="AA153" s="101"/>
      <c r="AB153" s="106">
        <f>IF(ISBLANK(AB146),"",IF(ISERROR(VLOOKUP(AB146,PAPELERIA_PAPEL_Y_LÁPIZ,10,FALSE)),"El dato no existe",VLOOKUP(AB146,PAPELERIA_PAPEL_Y_LÁPIZ,10,FALSE)))</f>
        <v>1000</v>
      </c>
      <c r="AC153" s="107"/>
      <c r="AD153" s="108">
        <f>IF(ISBLANK(AB146),"",IF(ISERROR(VLOOKUP(AB146,PAPELERIA_PAPEL_Y_LÁPIZ,11,FALSE)),"El dato no existe",VLOOKUP(AB146,PAPELERIA_PAPEL_Y_LÁPIZ,11,FALSE)))</f>
        <v>41000</v>
      </c>
      <c r="AE153" s="109"/>
    </row>
    <row r="154" spans="1:31" x14ac:dyDescent="0.25">
      <c r="A154" s="18"/>
      <c r="B154" s="104"/>
      <c r="C154" s="104"/>
      <c r="D154" s="104"/>
      <c r="E154" s="105"/>
      <c r="F154" s="104"/>
      <c r="G154" s="105"/>
      <c r="H154" s="104"/>
      <c r="I154" s="105"/>
      <c r="L154" s="18"/>
      <c r="M154" s="104"/>
      <c r="N154" s="104"/>
      <c r="O154" s="104"/>
      <c r="P154" s="105"/>
      <c r="Q154" s="104"/>
      <c r="R154" s="105"/>
      <c r="S154" s="104"/>
      <c r="T154" s="105"/>
      <c r="W154" s="18"/>
      <c r="X154" s="104"/>
      <c r="Y154" s="104"/>
      <c r="Z154" s="104"/>
      <c r="AA154" s="105"/>
      <c r="AB154" s="104"/>
      <c r="AC154" s="105"/>
      <c r="AD154" s="104"/>
      <c r="AE154" s="105"/>
    </row>
    <row r="155" spans="1:31" x14ac:dyDescent="0.25">
      <c r="A155" s="17"/>
      <c r="B155" s="99"/>
      <c r="C155" s="100"/>
      <c r="D155" s="100"/>
      <c r="E155" s="101"/>
      <c r="F155" s="100"/>
      <c r="G155" s="100"/>
      <c r="H155" s="99"/>
      <c r="I155" s="101"/>
      <c r="L155" s="17"/>
      <c r="M155" s="99"/>
      <c r="N155" s="100"/>
      <c r="O155" s="100"/>
      <c r="P155" s="101"/>
      <c r="Q155" s="100"/>
      <c r="R155" s="100"/>
      <c r="S155" s="99"/>
      <c r="T155" s="101"/>
      <c r="W155" s="17"/>
      <c r="X155" s="99"/>
      <c r="Y155" s="100"/>
      <c r="Z155" s="100"/>
      <c r="AA155" s="101"/>
      <c r="AB155" s="100"/>
      <c r="AC155" s="100"/>
      <c r="AD155" s="99"/>
      <c r="AE155" s="101"/>
    </row>
    <row r="156" spans="1:31" x14ac:dyDescent="0.25">
      <c r="A156" s="18"/>
      <c r="B156" s="104"/>
      <c r="C156" s="104"/>
      <c r="D156" s="104"/>
      <c r="E156" s="105"/>
      <c r="F156" s="104"/>
      <c r="G156" s="105"/>
      <c r="H156" s="104"/>
      <c r="I156" s="105"/>
      <c r="L156" s="18"/>
      <c r="M156" s="104"/>
      <c r="N156" s="104"/>
      <c r="O156" s="104"/>
      <c r="P156" s="105"/>
      <c r="Q156" s="104"/>
      <c r="R156" s="105"/>
      <c r="S156" s="104"/>
      <c r="T156" s="105"/>
      <c r="W156" s="18"/>
      <c r="X156" s="104"/>
      <c r="Y156" s="104"/>
      <c r="Z156" s="104"/>
      <c r="AA156" s="105"/>
      <c r="AB156" s="104"/>
      <c r="AC156" s="105"/>
      <c r="AD156" s="104"/>
      <c r="AE156" s="105"/>
    </row>
    <row r="157" spans="1:31" x14ac:dyDescent="0.25">
      <c r="A157" s="17"/>
      <c r="B157" s="99"/>
      <c r="C157" s="100"/>
      <c r="D157" s="100"/>
      <c r="E157" s="101"/>
      <c r="F157" s="100"/>
      <c r="G157" s="100"/>
      <c r="H157" s="99"/>
      <c r="I157" s="101"/>
      <c r="L157" s="17"/>
      <c r="M157" s="99"/>
      <c r="N157" s="100"/>
      <c r="O157" s="100"/>
      <c r="P157" s="101"/>
      <c r="Q157" s="100"/>
      <c r="R157" s="100"/>
      <c r="S157" s="99"/>
      <c r="T157" s="101"/>
      <c r="W157" s="17"/>
      <c r="X157" s="99"/>
      <c r="Y157" s="100"/>
      <c r="Z157" s="100"/>
      <c r="AA157" s="101"/>
      <c r="AB157" s="100"/>
      <c r="AC157" s="100"/>
      <c r="AD157" s="99"/>
      <c r="AE157" s="101"/>
    </row>
    <row r="158" spans="1:31" x14ac:dyDescent="0.25">
      <c r="A158" s="19"/>
      <c r="B158" s="102"/>
      <c r="C158" s="102"/>
      <c r="D158" s="102"/>
      <c r="E158" s="103"/>
      <c r="F158" s="102"/>
      <c r="G158" s="103"/>
      <c r="H158" s="102"/>
      <c r="I158" s="103"/>
      <c r="L158" s="19"/>
      <c r="M158" s="102"/>
      <c r="N158" s="102"/>
      <c r="O158" s="102"/>
      <c r="P158" s="103"/>
      <c r="Q158" s="102"/>
      <c r="R158" s="103"/>
      <c r="S158" s="102"/>
      <c r="T158" s="103"/>
      <c r="W158" s="19"/>
      <c r="X158" s="102"/>
      <c r="Y158" s="102"/>
      <c r="Z158" s="102"/>
      <c r="AA158" s="103"/>
      <c r="AB158" s="102"/>
      <c r="AC158" s="103"/>
      <c r="AD158" s="102"/>
      <c r="AE158" s="103"/>
    </row>
    <row r="159" spans="1:31" x14ac:dyDescent="0.25">
      <c r="A159" s="17"/>
      <c r="B159" s="99"/>
      <c r="C159" s="100"/>
      <c r="D159" s="100"/>
      <c r="E159" s="101"/>
      <c r="F159" s="100"/>
      <c r="G159" s="100"/>
      <c r="H159" s="99"/>
      <c r="I159" s="101"/>
      <c r="L159" s="17"/>
      <c r="M159" s="99"/>
      <c r="N159" s="100"/>
      <c r="O159" s="100"/>
      <c r="P159" s="101"/>
      <c r="Q159" s="100"/>
      <c r="R159" s="100"/>
      <c r="S159" s="99"/>
      <c r="T159" s="101"/>
      <c r="W159" s="17"/>
      <c r="X159" s="99"/>
      <c r="Y159" s="100"/>
      <c r="Z159" s="100"/>
      <c r="AA159" s="101"/>
      <c r="AB159" s="100"/>
      <c r="AC159" s="100"/>
      <c r="AD159" s="99"/>
      <c r="AE159" s="101"/>
    </row>
    <row r="160" spans="1:31" x14ac:dyDescent="0.25">
      <c r="A160" s="19"/>
      <c r="B160" s="102"/>
      <c r="C160" s="102"/>
      <c r="D160" s="102"/>
      <c r="E160" s="103"/>
      <c r="F160" s="102"/>
      <c r="G160" s="103"/>
      <c r="H160" s="102"/>
      <c r="I160" s="103"/>
      <c r="L160" s="19"/>
      <c r="M160" s="102"/>
      <c r="N160" s="102"/>
      <c r="O160" s="102"/>
      <c r="P160" s="103"/>
      <c r="Q160" s="102"/>
      <c r="R160" s="103"/>
      <c r="S160" s="102"/>
      <c r="T160" s="103"/>
      <c r="W160" s="19"/>
      <c r="X160" s="102"/>
      <c r="Y160" s="102"/>
      <c r="Z160" s="102"/>
      <c r="AA160" s="103"/>
      <c r="AB160" s="102"/>
      <c r="AC160" s="103"/>
      <c r="AD160" s="102"/>
      <c r="AE160" s="103"/>
    </row>
    <row r="161" spans="1:31" x14ac:dyDescent="0.25">
      <c r="A161" s="19"/>
      <c r="B161" s="102"/>
      <c r="C161" s="102"/>
      <c r="D161" s="102"/>
      <c r="E161" s="103"/>
      <c r="F161" s="102"/>
      <c r="G161" s="103"/>
      <c r="H161" s="102"/>
      <c r="I161" s="103"/>
      <c r="L161" s="19"/>
      <c r="M161" s="102"/>
      <c r="N161" s="102"/>
      <c r="O161" s="102"/>
      <c r="P161" s="103"/>
      <c r="Q161" s="102"/>
      <c r="R161" s="103"/>
      <c r="S161" s="102"/>
      <c r="T161" s="103"/>
      <c r="W161" s="19"/>
      <c r="X161" s="102"/>
      <c r="Y161" s="102"/>
      <c r="Z161" s="102"/>
      <c r="AA161" s="103"/>
      <c r="AB161" s="102"/>
      <c r="AC161" s="103"/>
      <c r="AD161" s="102"/>
      <c r="AE161" s="103"/>
    </row>
    <row r="162" spans="1:31" x14ac:dyDescent="0.25">
      <c r="A162" s="18"/>
      <c r="B162" s="104"/>
      <c r="C162" s="104"/>
      <c r="D162" s="104"/>
      <c r="E162" s="105"/>
      <c r="F162" s="104"/>
      <c r="G162" s="105"/>
      <c r="H162" s="104"/>
      <c r="I162" s="105"/>
      <c r="L162" s="18"/>
      <c r="M162" s="104"/>
      <c r="N162" s="104"/>
      <c r="O162" s="104"/>
      <c r="P162" s="105"/>
      <c r="Q162" s="104"/>
      <c r="R162" s="105"/>
      <c r="S162" s="104"/>
      <c r="T162" s="105"/>
      <c r="W162" s="18"/>
      <c r="X162" s="104"/>
      <c r="Y162" s="104"/>
      <c r="Z162" s="104"/>
      <c r="AA162" s="105"/>
      <c r="AB162" s="104"/>
      <c r="AC162" s="105"/>
      <c r="AD162" s="104"/>
      <c r="AE162" s="105"/>
    </row>
    <row r="163" spans="1:31" x14ac:dyDescent="0.25">
      <c r="A163" s="17"/>
      <c r="B163" s="99"/>
      <c r="C163" s="100"/>
      <c r="D163" s="100"/>
      <c r="E163" s="101"/>
      <c r="F163" s="100"/>
      <c r="G163" s="100"/>
      <c r="H163" s="99"/>
      <c r="I163" s="101"/>
      <c r="L163" s="17"/>
      <c r="M163" s="99"/>
      <c r="N163" s="100"/>
      <c r="O163" s="100"/>
      <c r="P163" s="101"/>
      <c r="Q163" s="100"/>
      <c r="R163" s="100"/>
      <c r="S163" s="99"/>
      <c r="T163" s="101"/>
      <c r="W163" s="17"/>
      <c r="X163" s="99"/>
      <c r="Y163" s="100"/>
      <c r="Z163" s="100"/>
      <c r="AA163" s="101"/>
      <c r="AB163" s="100"/>
      <c r="AC163" s="100"/>
      <c r="AD163" s="99"/>
      <c r="AE163" s="101"/>
    </row>
    <row r="164" spans="1:31" x14ac:dyDescent="0.25">
      <c r="A164" s="19"/>
      <c r="B164" s="102"/>
      <c r="C164" s="102"/>
      <c r="D164" s="102"/>
      <c r="E164" s="103"/>
      <c r="F164" s="102"/>
      <c r="G164" s="103"/>
      <c r="H164" s="102"/>
      <c r="I164" s="103"/>
      <c r="L164" s="19"/>
      <c r="M164" s="102"/>
      <c r="N164" s="102"/>
      <c r="O164" s="102"/>
      <c r="P164" s="103"/>
      <c r="Q164" s="102"/>
      <c r="R164" s="103"/>
      <c r="S164" s="102"/>
      <c r="T164" s="103"/>
      <c r="W164" s="19"/>
      <c r="X164" s="102"/>
      <c r="Y164" s="102"/>
      <c r="Z164" s="102"/>
      <c r="AA164" s="103"/>
      <c r="AB164" s="102"/>
      <c r="AC164" s="103"/>
      <c r="AD164" s="102"/>
      <c r="AE164" s="103"/>
    </row>
    <row r="165" spans="1:31" x14ac:dyDescent="0.25">
      <c r="A165" s="19"/>
      <c r="B165" s="102"/>
      <c r="C165" s="102"/>
      <c r="D165" s="102"/>
      <c r="E165" s="103"/>
      <c r="F165" s="102"/>
      <c r="G165" s="103"/>
      <c r="H165" s="102"/>
      <c r="I165" s="103"/>
      <c r="L165" s="19"/>
      <c r="M165" s="102"/>
      <c r="N165" s="102"/>
      <c r="O165" s="102"/>
      <c r="P165" s="103"/>
      <c r="Q165" s="102"/>
      <c r="R165" s="103"/>
      <c r="S165" s="102"/>
      <c r="T165" s="103"/>
      <c r="W165" s="19"/>
      <c r="X165" s="102"/>
      <c r="Y165" s="102"/>
      <c r="Z165" s="102"/>
      <c r="AA165" s="103"/>
      <c r="AB165" s="102"/>
      <c r="AC165" s="103"/>
      <c r="AD165" s="102"/>
      <c r="AE165" s="103"/>
    </row>
    <row r="166" spans="1:31" x14ac:dyDescent="0.25">
      <c r="A166" s="19"/>
      <c r="B166" s="102"/>
      <c r="C166" s="102"/>
      <c r="D166" s="102"/>
      <c r="E166" s="103"/>
      <c r="F166" s="102"/>
      <c r="G166" s="103"/>
      <c r="H166" s="102"/>
      <c r="I166" s="103"/>
      <c r="L166" s="19"/>
      <c r="M166" s="102"/>
      <c r="N166" s="102"/>
      <c r="O166" s="102"/>
      <c r="P166" s="103"/>
      <c r="Q166" s="102"/>
      <c r="R166" s="103"/>
      <c r="S166" s="102"/>
      <c r="T166" s="103"/>
      <c r="W166" s="19"/>
      <c r="X166" s="102"/>
      <c r="Y166" s="102"/>
      <c r="Z166" s="102"/>
      <c r="AA166" s="103"/>
      <c r="AB166" s="102"/>
      <c r="AC166" s="103"/>
      <c r="AD166" s="102"/>
      <c r="AE166" s="103"/>
    </row>
    <row r="167" spans="1:31" x14ac:dyDescent="0.25">
      <c r="A167" s="19"/>
      <c r="B167" s="102"/>
      <c r="C167" s="102"/>
      <c r="D167" s="102"/>
      <c r="E167" s="103"/>
      <c r="F167" s="102"/>
      <c r="G167" s="103"/>
      <c r="H167" s="102"/>
      <c r="I167" s="103"/>
      <c r="L167" s="19"/>
      <c r="M167" s="102"/>
      <c r="N167" s="102"/>
      <c r="O167" s="102"/>
      <c r="P167" s="103"/>
      <c r="Q167" s="102"/>
      <c r="R167" s="103"/>
      <c r="S167" s="102"/>
      <c r="T167" s="103"/>
      <c r="W167" s="19"/>
      <c r="X167" s="102"/>
      <c r="Y167" s="102"/>
      <c r="Z167" s="102"/>
      <c r="AA167" s="103"/>
      <c r="AB167" s="102"/>
      <c r="AC167" s="103"/>
      <c r="AD167" s="102"/>
      <c r="AE167" s="103"/>
    </row>
    <row r="168" spans="1:31" x14ac:dyDescent="0.25">
      <c r="A168" s="19"/>
      <c r="B168" s="102"/>
      <c r="C168" s="102"/>
      <c r="D168" s="102"/>
      <c r="E168" s="103"/>
      <c r="F168" s="102"/>
      <c r="G168" s="103"/>
      <c r="H168" s="102"/>
      <c r="I168" s="147"/>
      <c r="L168" s="19"/>
      <c r="M168" s="102"/>
      <c r="N168" s="102"/>
      <c r="O168" s="102"/>
      <c r="P168" s="103"/>
      <c r="Q168" s="102"/>
      <c r="R168" s="103"/>
      <c r="S168" s="102"/>
      <c r="T168" s="147"/>
      <c r="W168" s="19"/>
      <c r="X168" s="102"/>
      <c r="Y168" s="102"/>
      <c r="Z168" s="102"/>
      <c r="AA168" s="103"/>
      <c r="AB168" s="102"/>
      <c r="AC168" s="103"/>
      <c r="AD168" s="102"/>
      <c r="AE168" s="147"/>
    </row>
    <row r="169" spans="1:31" x14ac:dyDescent="0.25">
      <c r="A169" s="129"/>
      <c r="B169" s="129"/>
      <c r="C169" s="129"/>
      <c r="D169" s="129"/>
      <c r="E169" s="129"/>
      <c r="F169" s="129"/>
      <c r="G169" s="129"/>
      <c r="H169" s="129"/>
      <c r="I169" s="129"/>
      <c r="L169" s="129"/>
      <c r="M169" s="129"/>
      <c r="N169" s="129"/>
      <c r="O169" s="129"/>
      <c r="P169" s="129"/>
      <c r="Q169" s="129"/>
      <c r="R169" s="129"/>
      <c r="S169" s="129"/>
      <c r="T169" s="129"/>
      <c r="W169" s="129"/>
      <c r="X169" s="129"/>
      <c r="Y169" s="129"/>
      <c r="Z169" s="129"/>
      <c r="AA169" s="129"/>
      <c r="AB169" s="129"/>
      <c r="AC169" s="129"/>
      <c r="AD169" s="129"/>
      <c r="AE169" s="129"/>
    </row>
    <row r="170" spans="1:31" x14ac:dyDescent="0.25">
      <c r="A170" s="130" t="s">
        <v>85</v>
      </c>
      <c r="B170" s="131"/>
      <c r="C170" s="136" t="s">
        <v>86</v>
      </c>
      <c r="D170" s="137"/>
      <c r="E170" s="56" t="s">
        <v>164</v>
      </c>
      <c r="F170" s="145">
        <f>IF(ISBLANK(F146),"",IF(ISERROR(VLOOKUP(F146,PAPELERIA_PAPEL_Y_LÁPIZ,13,FALSE)),"El dato no existe",VLOOKUP(F146,PAPELERIA_PAPEL_Y_LÁPIZ,13,FALSE)))</f>
        <v>110580</v>
      </c>
      <c r="G170" s="145"/>
      <c r="H170" s="145"/>
      <c r="I170" s="146"/>
      <c r="L170" s="130" t="s">
        <v>85</v>
      </c>
      <c r="M170" s="131"/>
      <c r="N170" s="136" t="s">
        <v>86</v>
      </c>
      <c r="O170" s="137"/>
      <c r="P170" s="56" t="s">
        <v>164</v>
      </c>
      <c r="Q170" s="145">
        <f>IF(ISBLANK(Q146),"",IF(ISERROR(VLOOKUP(Q146,PAPELERIA_PAPEL_Y_LÁPIZ,13,FALSE)),"El dato no existe",VLOOKUP(Q146,PAPELERIA_PAPEL_Y_LÁPIZ,13,FALSE)))</f>
        <v>57300</v>
      </c>
      <c r="R170" s="145"/>
      <c r="S170" s="145"/>
      <c r="T170" s="146"/>
      <c r="W170" s="130" t="s">
        <v>85</v>
      </c>
      <c r="X170" s="131"/>
      <c r="Y170" s="136" t="s">
        <v>86</v>
      </c>
      <c r="Z170" s="137"/>
      <c r="AA170" s="56" t="s">
        <v>164</v>
      </c>
      <c r="AB170" s="145">
        <f>IF(ISBLANK(AB146),"",IF(ISERROR(VLOOKUP(AB146,PAPELERIA_PAPEL_Y_LÁPIZ,13,FALSE)),"El dato no existe",VLOOKUP(AB146,PAPELERIA_PAPEL_Y_LÁPIZ,13,FALSE)))</f>
        <v>38950</v>
      </c>
      <c r="AC170" s="145"/>
      <c r="AD170" s="145"/>
      <c r="AE170" s="146"/>
    </row>
    <row r="171" spans="1:31" x14ac:dyDescent="0.25">
      <c r="A171" s="132"/>
      <c r="B171" s="133"/>
      <c r="C171" s="138"/>
      <c r="D171" s="139"/>
      <c r="E171" s="140"/>
      <c r="F171" s="141"/>
      <c r="G171" s="141"/>
      <c r="H171" s="141"/>
      <c r="I171" s="142"/>
      <c r="L171" s="132"/>
      <c r="M171" s="133"/>
      <c r="N171" s="138"/>
      <c r="O171" s="139"/>
      <c r="P171" s="140"/>
      <c r="Q171" s="141"/>
      <c r="R171" s="141"/>
      <c r="S171" s="141"/>
      <c r="T171" s="142"/>
      <c r="W171" s="132"/>
      <c r="X171" s="133"/>
      <c r="Y171" s="138"/>
      <c r="Z171" s="139"/>
      <c r="AA171" s="140"/>
      <c r="AB171" s="141"/>
      <c r="AC171" s="141"/>
      <c r="AD171" s="141"/>
      <c r="AE171" s="142"/>
    </row>
    <row r="172" spans="1:31" x14ac:dyDescent="0.25">
      <c r="A172" s="134"/>
      <c r="B172" s="135"/>
      <c r="C172" s="143" t="s">
        <v>87</v>
      </c>
      <c r="D172" s="144"/>
      <c r="E172" s="56"/>
      <c r="F172" s="145">
        <f>IF(ISBLANK(F146),"",IF(ISERROR(VLOOKUP(F146,PAPELERIA_PAPEL_Y_LÁPIZ,16,FALSE)),"El dato no existe",VLOOKUP(F146,PAPELERIA_PAPEL_Y_LÁPIZ,16,FALSE)))</f>
        <v>127719.90000000001</v>
      </c>
      <c r="G172" s="145"/>
      <c r="H172" s="145"/>
      <c r="I172" s="146"/>
      <c r="L172" s="134"/>
      <c r="M172" s="135"/>
      <c r="N172" s="143" t="s">
        <v>87</v>
      </c>
      <c r="O172" s="144"/>
      <c r="P172" s="56"/>
      <c r="Q172" s="145">
        <f>IF(ISBLANK(Q146),"",IF(ISERROR(VLOOKUP(Q146,PAPELERIA_PAPEL_Y_LÁPIZ,16,FALSE)),"El dato no existe",VLOOKUP(Q146,PAPELERIA_PAPEL_Y_LÁPIZ,16,FALSE)))</f>
        <v>55294.5</v>
      </c>
      <c r="R172" s="145"/>
      <c r="S172" s="145"/>
      <c r="T172" s="146"/>
      <c r="W172" s="134"/>
      <c r="X172" s="135"/>
      <c r="Y172" s="143" t="s">
        <v>87</v>
      </c>
      <c r="Z172" s="144"/>
      <c r="AA172" s="56"/>
      <c r="AB172" s="145">
        <f>IF(ISBLANK(AB146),"",IF(ISERROR(VLOOKUP(AB146,PAPELERIA_PAPEL_Y_LÁPIZ,16,FALSE)),"El dato no existe",VLOOKUP(AB146,PAPELERIA_PAPEL_Y_LÁPIZ,16,FALSE)))</f>
        <v>37586.75</v>
      </c>
      <c r="AC172" s="145"/>
      <c r="AD172" s="145"/>
      <c r="AE172" s="146"/>
    </row>
    <row r="175" spans="1:31" x14ac:dyDescent="0.25">
      <c r="A175" s="110" t="s">
        <v>96</v>
      </c>
      <c r="B175" s="111"/>
      <c r="C175" s="111"/>
      <c r="D175" s="112"/>
      <c r="E175" s="116" t="s">
        <v>78</v>
      </c>
      <c r="F175" s="118">
        <v>707</v>
      </c>
      <c r="G175" s="118"/>
      <c r="H175" s="118"/>
      <c r="I175" s="118"/>
      <c r="L175" s="110" t="s">
        <v>96</v>
      </c>
      <c r="M175" s="111"/>
      <c r="N175" s="111"/>
      <c r="O175" s="112"/>
      <c r="P175" s="116" t="s">
        <v>78</v>
      </c>
      <c r="Q175" s="118">
        <v>717</v>
      </c>
      <c r="R175" s="118"/>
      <c r="S175" s="118"/>
      <c r="T175" s="118"/>
      <c r="W175" s="110" t="s">
        <v>96</v>
      </c>
      <c r="X175" s="111"/>
      <c r="Y175" s="111"/>
      <c r="Z175" s="112"/>
      <c r="AA175" s="116" t="s">
        <v>78</v>
      </c>
      <c r="AB175" s="118">
        <v>727</v>
      </c>
      <c r="AC175" s="118"/>
      <c r="AD175" s="118"/>
      <c r="AE175" s="118"/>
    </row>
    <row r="176" spans="1:31" x14ac:dyDescent="0.25">
      <c r="A176" s="113"/>
      <c r="B176" s="114"/>
      <c r="C176" s="114"/>
      <c r="D176" s="115"/>
      <c r="E176" s="117"/>
      <c r="F176" s="118"/>
      <c r="G176" s="118"/>
      <c r="H176" s="118"/>
      <c r="I176" s="118"/>
      <c r="L176" s="113"/>
      <c r="M176" s="114"/>
      <c r="N176" s="114"/>
      <c r="O176" s="115"/>
      <c r="P176" s="117"/>
      <c r="Q176" s="118"/>
      <c r="R176" s="118"/>
      <c r="S176" s="118"/>
      <c r="T176" s="118"/>
      <c r="W176" s="113"/>
      <c r="X176" s="114"/>
      <c r="Y176" s="114"/>
      <c r="Z176" s="115"/>
      <c r="AA176" s="117"/>
      <c r="AB176" s="118"/>
      <c r="AC176" s="118"/>
      <c r="AD176" s="118"/>
      <c r="AE176" s="118"/>
    </row>
    <row r="177" spans="1:31" x14ac:dyDescent="0.25">
      <c r="A177" s="119" t="s">
        <v>3</v>
      </c>
      <c r="B177" s="121" t="str">
        <f>IF(ISBLANK(F175),"",IF(ISERROR(VLOOKUP(F175,PAPELERIA_PAPEL_Y_LÁPIZ,3,FALSE)),"El dato no existe",VLOOKUP(F175,PAPELERIA_PAPEL_Y_LÁPIZ,3,FALSE)))</f>
        <v>CORPORACIÓN UNVIERSITARIA CENDA</v>
      </c>
      <c r="C177" s="121"/>
      <c r="D177" s="121"/>
      <c r="E177" s="122"/>
      <c r="F177" s="125" t="s">
        <v>79</v>
      </c>
      <c r="G177" s="125"/>
      <c r="H177" s="125"/>
      <c r="I177" s="126"/>
      <c r="L177" s="119" t="s">
        <v>3</v>
      </c>
      <c r="M177" s="121" t="str">
        <f>IF(ISBLANK(Q175),"",IF(ISERROR(VLOOKUP(Q175,PAPELERIA_PAPEL_Y_LÁPIZ,3,FALSE)),"El dato no existe",VLOOKUP(Q175,PAPELERIA_PAPEL_Y_LÁPIZ,3,FALSE)))</f>
        <v>INSTITUCIÓN UNIVERSITARIA ESCOLME</v>
      </c>
      <c r="N177" s="121"/>
      <c r="O177" s="121"/>
      <c r="P177" s="122"/>
      <c r="Q177" s="125" t="s">
        <v>79</v>
      </c>
      <c r="R177" s="125"/>
      <c r="S177" s="125"/>
      <c r="T177" s="126"/>
      <c r="W177" s="119" t="s">
        <v>3</v>
      </c>
      <c r="X177" s="121" t="str">
        <f>IF(ISBLANK(AB175),"",IF(ISERROR(VLOOKUP(AB175,PAPELERIA_PAPEL_Y_LÁPIZ,3,FALSE)),"El dato no existe",VLOOKUP(AB175,PAPELERIA_PAPEL_Y_LÁPIZ,3,FALSE)))</f>
        <v>UNIVERSIDAD AUTONOMA DE OCCIDENTE</v>
      </c>
      <c r="Y177" s="121"/>
      <c r="Z177" s="121"/>
      <c r="AA177" s="122"/>
      <c r="AB177" s="125" t="s">
        <v>79</v>
      </c>
      <c r="AC177" s="125"/>
      <c r="AD177" s="125"/>
      <c r="AE177" s="126"/>
    </row>
    <row r="178" spans="1:31" x14ac:dyDescent="0.25">
      <c r="A178" s="120"/>
      <c r="B178" s="123"/>
      <c r="C178" s="123"/>
      <c r="D178" s="123"/>
      <c r="E178" s="124"/>
      <c r="F178" s="127">
        <v>26</v>
      </c>
      <c r="G178" s="128"/>
      <c r="H178" s="30">
        <v>11</v>
      </c>
      <c r="I178" s="28">
        <v>2018</v>
      </c>
      <c r="L178" s="120"/>
      <c r="M178" s="123"/>
      <c r="N178" s="123"/>
      <c r="O178" s="123"/>
      <c r="P178" s="124"/>
      <c r="Q178" s="127">
        <v>26</v>
      </c>
      <c r="R178" s="128"/>
      <c r="S178" s="30">
        <v>11</v>
      </c>
      <c r="T178" s="28">
        <v>2018</v>
      </c>
      <c r="W178" s="120"/>
      <c r="X178" s="123"/>
      <c r="Y178" s="123"/>
      <c r="Z178" s="123"/>
      <c r="AA178" s="124"/>
      <c r="AB178" s="127">
        <v>26</v>
      </c>
      <c r="AC178" s="128"/>
      <c r="AD178" s="30">
        <v>11</v>
      </c>
      <c r="AE178" s="28">
        <v>2018</v>
      </c>
    </row>
    <row r="179" spans="1:31" x14ac:dyDescent="0.25">
      <c r="A179" s="29" t="s">
        <v>95</v>
      </c>
      <c r="B179" s="94" t="str">
        <f>IF(ISBLANK(F175),"",IF(ISERROR(VLOOKUP(F175,PAPELERIA_PAPEL_Y_LÁPIZ,2,FALSE)),"El dato no existe",VLOOKUP(F175,PAPELERIA_PAPEL_Y_LÁPIZ,2,FALSE)))</f>
        <v>860066098-5</v>
      </c>
      <c r="C179" s="95"/>
      <c r="D179" s="29" t="s">
        <v>94</v>
      </c>
      <c r="E179" s="93" t="str">
        <f>IF(ISBLANK(F175),"",IF(ISERROR(VLOOKUP(F175,PAPELERIA_PAPEL_Y_LÁPIZ,5,FALSE)),"El dato no existe",VLOOKUP(F175,PAPELERIA_PAPEL_Y_LÁPIZ,5,FALSE)))</f>
        <v>Carrera 14 N° 12-42</v>
      </c>
      <c r="F179" s="93"/>
      <c r="G179" s="93"/>
      <c r="H179" s="93"/>
      <c r="I179" s="93"/>
      <c r="L179" s="29" t="s">
        <v>95</v>
      </c>
      <c r="M179" s="94" t="str">
        <f>IF(ISBLANK(Q175),"",IF(ISERROR(VLOOKUP(Q175,PAPELERIA_PAPEL_Y_LÁPIZ,2,FALSE)),"El dato no existe",VLOOKUP(Q175,PAPELERIA_PAPEL_Y_LÁPIZ,2,FALSE)))</f>
        <v>800203863-5</v>
      </c>
      <c r="N179" s="95"/>
      <c r="O179" s="29" t="s">
        <v>94</v>
      </c>
      <c r="P179" s="93" t="str">
        <f>IF(ISBLANK(Q175),"",IF(ISERROR(VLOOKUP(Q175,PAPELERIA_PAPEL_Y_LÁPIZ,5,FALSE)),"El dato no existe",VLOOKUP(Q175,PAPELERIA_PAPEL_Y_LÁPIZ,5,FALSE)))</f>
        <v>Calle 5 N° 3-85</v>
      </c>
      <c r="Q179" s="93"/>
      <c r="R179" s="93"/>
      <c r="S179" s="93"/>
      <c r="T179" s="93"/>
      <c r="W179" s="29" t="s">
        <v>95</v>
      </c>
      <c r="X179" s="94" t="str">
        <f>IF(ISBLANK(AB175),"",IF(ISERROR(VLOOKUP(AB175,PAPELERIA_PAPEL_Y_LÁPIZ,2,FALSE)),"El dato no existe",VLOOKUP(AB175,PAPELERIA_PAPEL_Y_LÁPIZ,2,FALSE)))</f>
        <v>893500248-9</v>
      </c>
      <c r="Y179" s="95"/>
      <c r="Z179" s="29" t="s">
        <v>94</v>
      </c>
      <c r="AA179" s="93" t="str">
        <f>IF(ISBLANK(AB175),"",IF(ISERROR(VLOOKUP(AB175,PAPELERIA_PAPEL_Y_LÁPIZ,5,FALSE)),"El dato no existe",VLOOKUP(AB175,PAPELERIA_PAPEL_Y_LÁPIZ,5,FALSE)))</f>
        <v>Calle 51 N° 72 A-70</v>
      </c>
      <c r="AB179" s="93"/>
      <c r="AC179" s="93"/>
      <c r="AD179" s="93"/>
      <c r="AE179" s="93"/>
    </row>
    <row r="180" spans="1:31" x14ac:dyDescent="0.25">
      <c r="A180" s="31" t="s">
        <v>80</v>
      </c>
      <c r="B180" s="94">
        <f>IF(ISBLANK(F175),"",IF(ISERROR(VLOOKUP(F175,PAPELERIA_PAPEL_Y_LÁPIZ,4,FALSE)),"El dato no existe",VLOOKUP(F175,PAPELERIA_PAPEL_Y_LÁPIZ,4,FALSE)))</f>
        <v>3400100</v>
      </c>
      <c r="C180" s="95"/>
      <c r="D180" s="91" t="s">
        <v>91</v>
      </c>
      <c r="E180" s="92"/>
      <c r="F180" s="96" t="str">
        <f>IF(ISBLANK(F175),"",IF(ISERROR(VLOOKUP(F175,PAPELERIA_PAPEL_Y_LÁPIZ,17,FALSE)),"El dato no existe",VLOOKUP(F175,PAPELERIA_PAPEL_Y_LÁPIZ,17,FALSE)))</f>
        <v>CONTADO</v>
      </c>
      <c r="G180" s="97"/>
      <c r="H180" s="97"/>
      <c r="I180" s="98"/>
      <c r="L180" s="31" t="s">
        <v>80</v>
      </c>
      <c r="M180" s="94">
        <f>IF(ISBLANK(Q175),"",IF(ISERROR(VLOOKUP(Q175,PAPELERIA_PAPEL_Y_LÁPIZ,4,FALSE)),"El dato no existe",VLOOKUP(Q175,PAPELERIA_PAPEL_Y_LÁPIZ,4,FALSE)))</f>
        <v>8213000</v>
      </c>
      <c r="N180" s="95"/>
      <c r="O180" s="91" t="s">
        <v>91</v>
      </c>
      <c r="P180" s="92"/>
      <c r="Q180" s="96" t="str">
        <f>IF(ISBLANK(Q175),"",IF(ISERROR(VLOOKUP(Q175,PAPELERIA_PAPEL_Y_LÁPIZ,17,FALSE)),"El dato no existe",VLOOKUP(Q175,PAPELERIA_PAPEL_Y_LÁPIZ,17,FALSE)))</f>
        <v>CRÉDITO</v>
      </c>
      <c r="R180" s="97"/>
      <c r="S180" s="97"/>
      <c r="T180" s="98"/>
      <c r="W180" s="31" t="s">
        <v>80</v>
      </c>
      <c r="X180" s="94">
        <f>IF(ISBLANK(AB175),"",IF(ISERROR(VLOOKUP(AB175,PAPELERIA_PAPEL_Y_LÁPIZ,4,FALSE)),"El dato no existe",VLOOKUP(AB175,PAPELERIA_PAPEL_Y_LÁPIZ,4,FALSE)))</f>
        <v>5132100</v>
      </c>
      <c r="Y180" s="95"/>
      <c r="Z180" s="91" t="s">
        <v>91</v>
      </c>
      <c r="AA180" s="92"/>
      <c r="AB180" s="96" t="str">
        <f>IF(ISBLANK(AB175),"",IF(ISERROR(VLOOKUP(AB175,PAPELERIA_PAPEL_Y_LÁPIZ,17,FALSE)),"El dato no existe",VLOOKUP(AB175,PAPELERIA_PAPEL_Y_LÁPIZ,17,FALSE)))</f>
        <v>CRÉDITO</v>
      </c>
      <c r="AC180" s="97"/>
      <c r="AD180" s="97"/>
      <c r="AE180" s="98"/>
    </row>
    <row r="181" spans="1:31" x14ac:dyDescent="0.25">
      <c r="A181" s="16" t="s">
        <v>81</v>
      </c>
      <c r="B181" s="86" t="s">
        <v>82</v>
      </c>
      <c r="C181" s="87"/>
      <c r="D181" s="87"/>
      <c r="E181" s="88"/>
      <c r="F181" s="89" t="s">
        <v>83</v>
      </c>
      <c r="G181" s="90"/>
      <c r="H181" s="86" t="s">
        <v>84</v>
      </c>
      <c r="I181" s="88"/>
      <c r="L181" s="16" t="s">
        <v>81</v>
      </c>
      <c r="M181" s="86" t="s">
        <v>82</v>
      </c>
      <c r="N181" s="87"/>
      <c r="O181" s="87"/>
      <c r="P181" s="88"/>
      <c r="Q181" s="89" t="s">
        <v>83</v>
      </c>
      <c r="R181" s="90"/>
      <c r="S181" s="86" t="s">
        <v>84</v>
      </c>
      <c r="T181" s="88"/>
      <c r="W181" s="16" t="s">
        <v>81</v>
      </c>
      <c r="X181" s="86" t="s">
        <v>82</v>
      </c>
      <c r="Y181" s="87"/>
      <c r="Z181" s="87"/>
      <c r="AA181" s="88"/>
      <c r="AB181" s="89" t="s">
        <v>83</v>
      </c>
      <c r="AC181" s="90"/>
      <c r="AD181" s="86" t="s">
        <v>84</v>
      </c>
      <c r="AE181" s="88"/>
    </row>
    <row r="182" spans="1:31" x14ac:dyDescent="0.25">
      <c r="A182" s="17">
        <f>IF(ISBLANK(F175),"",IF(ISERROR(VLOOKUP(F175,PAPELERIA_PAPEL_Y_LÁPIZ,8,FALSE)),"El dato no existe",VLOOKUP(F175,PAPELERIA_PAPEL_Y_LÁPIZ,8,FALSE)))</f>
        <v>25</v>
      </c>
      <c r="B182" s="99" t="str">
        <f>IF(ISBLANK(F175),"",IF(ISERROR(VLOOKUP(F175,PAPELERIA_PAPEL_Y_LÁPIZ,7,FALSE)),"El dato no existe",VLOOKUP(F175,PAPELERIA_PAPEL_Y_LÁPIZ,7,FALSE)))</f>
        <v>VINILOS PRISMACOLOR</v>
      </c>
      <c r="C182" s="100"/>
      <c r="D182" s="100"/>
      <c r="E182" s="101"/>
      <c r="F182" s="106">
        <f>IF(ISBLANK(F175),"",IF(ISERROR(VLOOKUP(F175,PAPELERIA_PAPEL_Y_LÁPIZ,10,FALSE)),"El dato no existe",VLOOKUP(F175,PAPELERIA_PAPEL_Y_LÁPIZ,10,FALSE)))</f>
        <v>1000</v>
      </c>
      <c r="G182" s="107"/>
      <c r="H182" s="108">
        <f>IF(ISBLANK(F175),"",IF(ISERROR(VLOOKUP(F175,PAPELERIA_PAPEL_Y_LÁPIZ,11,FALSE)),"El dato no existe",VLOOKUP(F175,PAPELERIA_PAPEL_Y_LÁPIZ,11,FALSE)))</f>
        <v>25000</v>
      </c>
      <c r="I182" s="109"/>
      <c r="L182" s="17">
        <f>IF(ISBLANK(Q175),"",IF(ISERROR(VLOOKUP(Q175,PAPELERIA_PAPEL_Y_LÁPIZ,8,FALSE)),"El dato no existe",VLOOKUP(Q175,PAPELERIA_PAPEL_Y_LÁPIZ,8,FALSE)))</f>
        <v>35</v>
      </c>
      <c r="M182" s="99" t="str">
        <f>IF(ISBLANK(Q175),"",IF(ISERROR(VLOOKUP(Q175,PAPELERIA_PAPEL_Y_LÁPIZ,7,FALSE)),"El dato no existe",VLOOKUP(Q175,PAPELERIA_PAPEL_Y_LÁPIZ,7,FALSE)))</f>
        <v>CAJA LAPIZ MIRADO No. 2   X12 U</v>
      </c>
      <c r="N182" s="100"/>
      <c r="O182" s="100"/>
      <c r="P182" s="101"/>
      <c r="Q182" s="106">
        <f>IF(ISBLANK(Q175),"",IF(ISERROR(VLOOKUP(Q175,PAPELERIA_PAPEL_Y_LÁPIZ,10,FALSE)),"El dato no existe",VLOOKUP(Q175,PAPELERIA_PAPEL_Y_LÁPIZ,10,FALSE)))</f>
        <v>7680</v>
      </c>
      <c r="R182" s="107"/>
      <c r="S182" s="108">
        <f>IF(ISBLANK(Q175),"",IF(ISERROR(VLOOKUP(Q175,PAPELERIA_PAPEL_Y_LÁPIZ,11,FALSE)),"El dato no existe",VLOOKUP(Q175,PAPELERIA_PAPEL_Y_LÁPIZ,11,FALSE)))</f>
        <v>268800</v>
      </c>
      <c r="T182" s="109"/>
      <c r="W182" s="17">
        <f>IF(ISBLANK(AB175),"",IF(ISERROR(VLOOKUP(AB175,PAPELERIA_PAPEL_Y_LÁPIZ,8,FALSE)),"El dato no existe",VLOOKUP(AB175,PAPELERIA_PAPEL_Y_LÁPIZ,8,FALSE)))</f>
        <v>43</v>
      </c>
      <c r="X182" s="99" t="str">
        <f>IF(ISBLANK(AB175),"",IF(ISERROR(VLOOKUP(AB175,PAPELERIA_PAPEL_Y_LÁPIZ,7,FALSE)),"El dato no existe",VLOOKUP(AB175,PAPELERIA_PAPEL_Y_LÁPIZ,7,FALSE)))</f>
        <v>CAJA DE COLORES NORMA</v>
      </c>
      <c r="Y182" s="100"/>
      <c r="Z182" s="100"/>
      <c r="AA182" s="101"/>
      <c r="AB182" s="106">
        <f>IF(ISBLANK(AB175),"",IF(ISERROR(VLOOKUP(AB175,PAPELERIA_PAPEL_Y_LÁPIZ,10,FALSE)),"El dato no existe",VLOOKUP(AB175,PAPELERIA_PAPEL_Y_LÁPIZ,10,FALSE)))</f>
        <v>9500</v>
      </c>
      <c r="AC182" s="107"/>
      <c r="AD182" s="108">
        <f>IF(ISBLANK(AB175),"",IF(ISERROR(VLOOKUP(AB175,PAPELERIA_PAPEL_Y_LÁPIZ,11,FALSE)),"El dato no existe",VLOOKUP(AB175,PAPELERIA_PAPEL_Y_LÁPIZ,11,FALSE)))</f>
        <v>408500</v>
      </c>
      <c r="AE182" s="109"/>
    </row>
    <row r="183" spans="1:31" x14ac:dyDescent="0.25">
      <c r="A183" s="18"/>
      <c r="B183" s="104"/>
      <c r="C183" s="104"/>
      <c r="D183" s="104"/>
      <c r="E183" s="105"/>
      <c r="F183" s="104"/>
      <c r="G183" s="105"/>
      <c r="H183" s="104"/>
      <c r="I183" s="105"/>
      <c r="L183" s="18"/>
      <c r="M183" s="104"/>
      <c r="N183" s="104"/>
      <c r="O183" s="104"/>
      <c r="P183" s="105"/>
      <c r="Q183" s="104"/>
      <c r="R183" s="105"/>
      <c r="S183" s="104"/>
      <c r="T183" s="105"/>
      <c r="W183" s="18"/>
      <c r="X183" s="104"/>
      <c r="Y183" s="104"/>
      <c r="Z183" s="104"/>
      <c r="AA183" s="105"/>
      <c r="AB183" s="104"/>
      <c r="AC183" s="105"/>
      <c r="AD183" s="104"/>
      <c r="AE183" s="105"/>
    </row>
    <row r="184" spans="1:31" x14ac:dyDescent="0.25">
      <c r="A184" s="17"/>
      <c r="B184" s="99"/>
      <c r="C184" s="100"/>
      <c r="D184" s="100"/>
      <c r="E184" s="101"/>
      <c r="F184" s="100"/>
      <c r="G184" s="100"/>
      <c r="H184" s="99"/>
      <c r="I184" s="101"/>
      <c r="L184" s="17"/>
      <c r="M184" s="99"/>
      <c r="N184" s="100"/>
      <c r="O184" s="100"/>
      <c r="P184" s="101"/>
      <c r="Q184" s="100"/>
      <c r="R184" s="100"/>
      <c r="S184" s="99"/>
      <c r="T184" s="101"/>
      <c r="W184" s="17"/>
      <c r="X184" s="99"/>
      <c r="Y184" s="100"/>
      <c r="Z184" s="100"/>
      <c r="AA184" s="101"/>
      <c r="AB184" s="100"/>
      <c r="AC184" s="100"/>
      <c r="AD184" s="99"/>
      <c r="AE184" s="101"/>
    </row>
    <row r="185" spans="1:31" x14ac:dyDescent="0.25">
      <c r="A185" s="18"/>
      <c r="B185" s="104"/>
      <c r="C185" s="104"/>
      <c r="D185" s="104"/>
      <c r="E185" s="105"/>
      <c r="F185" s="104"/>
      <c r="G185" s="105"/>
      <c r="H185" s="104"/>
      <c r="I185" s="105"/>
      <c r="L185" s="18"/>
      <c r="M185" s="104"/>
      <c r="N185" s="104"/>
      <c r="O185" s="104"/>
      <c r="P185" s="105"/>
      <c r="Q185" s="104"/>
      <c r="R185" s="105"/>
      <c r="S185" s="104"/>
      <c r="T185" s="105"/>
      <c r="W185" s="18"/>
      <c r="X185" s="104"/>
      <c r="Y185" s="104"/>
      <c r="Z185" s="104"/>
      <c r="AA185" s="105"/>
      <c r="AB185" s="104"/>
      <c r="AC185" s="105"/>
      <c r="AD185" s="104"/>
      <c r="AE185" s="105"/>
    </row>
    <row r="186" spans="1:31" x14ac:dyDescent="0.25">
      <c r="A186" s="17"/>
      <c r="B186" s="99"/>
      <c r="C186" s="100"/>
      <c r="D186" s="100"/>
      <c r="E186" s="101"/>
      <c r="F186" s="100"/>
      <c r="G186" s="100"/>
      <c r="H186" s="99"/>
      <c r="I186" s="101"/>
      <c r="L186" s="17"/>
      <c r="M186" s="99"/>
      <c r="N186" s="100"/>
      <c r="O186" s="100"/>
      <c r="P186" s="101"/>
      <c r="Q186" s="100"/>
      <c r="R186" s="100"/>
      <c r="S186" s="99"/>
      <c r="T186" s="101"/>
      <c r="W186" s="17"/>
      <c r="X186" s="99"/>
      <c r="Y186" s="100"/>
      <c r="Z186" s="100"/>
      <c r="AA186" s="101"/>
      <c r="AB186" s="100"/>
      <c r="AC186" s="100"/>
      <c r="AD186" s="99"/>
      <c r="AE186" s="101"/>
    </row>
    <row r="187" spans="1:31" x14ac:dyDescent="0.25">
      <c r="A187" s="19"/>
      <c r="B187" s="102"/>
      <c r="C187" s="102"/>
      <c r="D187" s="102"/>
      <c r="E187" s="103"/>
      <c r="F187" s="102"/>
      <c r="G187" s="103"/>
      <c r="H187" s="102"/>
      <c r="I187" s="103"/>
      <c r="L187" s="19"/>
      <c r="M187" s="102"/>
      <c r="N187" s="102"/>
      <c r="O187" s="102"/>
      <c r="P187" s="103"/>
      <c r="Q187" s="102"/>
      <c r="R187" s="103"/>
      <c r="S187" s="102"/>
      <c r="T187" s="103"/>
      <c r="W187" s="19"/>
      <c r="X187" s="102"/>
      <c r="Y187" s="102"/>
      <c r="Z187" s="102"/>
      <c r="AA187" s="103"/>
      <c r="AB187" s="102"/>
      <c r="AC187" s="103"/>
      <c r="AD187" s="102"/>
      <c r="AE187" s="103"/>
    </row>
    <row r="188" spans="1:31" x14ac:dyDescent="0.25">
      <c r="A188" s="17"/>
      <c r="B188" s="99"/>
      <c r="C188" s="100"/>
      <c r="D188" s="100"/>
      <c r="E188" s="101"/>
      <c r="F188" s="100"/>
      <c r="G188" s="100"/>
      <c r="H188" s="99"/>
      <c r="I188" s="101"/>
      <c r="L188" s="17"/>
      <c r="M188" s="99"/>
      <c r="N188" s="100"/>
      <c r="O188" s="100"/>
      <c r="P188" s="101"/>
      <c r="Q188" s="100"/>
      <c r="R188" s="100"/>
      <c r="S188" s="99"/>
      <c r="T188" s="101"/>
      <c r="W188" s="17"/>
      <c r="X188" s="99"/>
      <c r="Y188" s="100"/>
      <c r="Z188" s="100"/>
      <c r="AA188" s="101"/>
      <c r="AB188" s="100"/>
      <c r="AC188" s="100"/>
      <c r="AD188" s="99"/>
      <c r="AE188" s="101"/>
    </row>
    <row r="189" spans="1:31" x14ac:dyDescent="0.25">
      <c r="A189" s="19"/>
      <c r="B189" s="102"/>
      <c r="C189" s="102"/>
      <c r="D189" s="102"/>
      <c r="E189" s="103"/>
      <c r="F189" s="102"/>
      <c r="G189" s="103"/>
      <c r="H189" s="102"/>
      <c r="I189" s="103"/>
      <c r="L189" s="19"/>
      <c r="M189" s="102"/>
      <c r="N189" s="102"/>
      <c r="O189" s="102"/>
      <c r="P189" s="103"/>
      <c r="Q189" s="102"/>
      <c r="R189" s="103"/>
      <c r="S189" s="102"/>
      <c r="T189" s="103"/>
      <c r="W189" s="19"/>
      <c r="X189" s="102"/>
      <c r="Y189" s="102"/>
      <c r="Z189" s="102"/>
      <c r="AA189" s="103"/>
      <c r="AB189" s="102"/>
      <c r="AC189" s="103"/>
      <c r="AD189" s="102"/>
      <c r="AE189" s="103"/>
    </row>
    <row r="190" spans="1:31" x14ac:dyDescent="0.25">
      <c r="A190" s="19"/>
      <c r="B190" s="102"/>
      <c r="C190" s="102"/>
      <c r="D190" s="102"/>
      <c r="E190" s="103"/>
      <c r="F190" s="102"/>
      <c r="G190" s="103"/>
      <c r="H190" s="102"/>
      <c r="I190" s="103"/>
      <c r="L190" s="19"/>
      <c r="M190" s="102"/>
      <c r="N190" s="102"/>
      <c r="O190" s="102"/>
      <c r="P190" s="103"/>
      <c r="Q190" s="102"/>
      <c r="R190" s="103"/>
      <c r="S190" s="102"/>
      <c r="T190" s="103"/>
      <c r="W190" s="19"/>
      <c r="X190" s="102"/>
      <c r="Y190" s="102"/>
      <c r="Z190" s="102"/>
      <c r="AA190" s="103"/>
      <c r="AB190" s="102"/>
      <c r="AC190" s="103"/>
      <c r="AD190" s="102"/>
      <c r="AE190" s="103"/>
    </row>
    <row r="191" spans="1:31" x14ac:dyDescent="0.25">
      <c r="A191" s="18"/>
      <c r="B191" s="104"/>
      <c r="C191" s="104"/>
      <c r="D191" s="104"/>
      <c r="E191" s="105"/>
      <c r="F191" s="104"/>
      <c r="G191" s="105"/>
      <c r="H191" s="104"/>
      <c r="I191" s="105"/>
      <c r="L191" s="18"/>
      <c r="M191" s="104"/>
      <c r="N191" s="104"/>
      <c r="O191" s="104"/>
      <c r="P191" s="105"/>
      <c r="Q191" s="104"/>
      <c r="R191" s="105"/>
      <c r="S191" s="104"/>
      <c r="T191" s="105"/>
      <c r="W191" s="18"/>
      <c r="X191" s="104"/>
      <c r="Y191" s="104"/>
      <c r="Z191" s="104"/>
      <c r="AA191" s="105"/>
      <c r="AB191" s="104"/>
      <c r="AC191" s="105"/>
      <c r="AD191" s="104"/>
      <c r="AE191" s="105"/>
    </row>
    <row r="192" spans="1:31" x14ac:dyDescent="0.25">
      <c r="A192" s="17"/>
      <c r="B192" s="99"/>
      <c r="C192" s="100"/>
      <c r="D192" s="100"/>
      <c r="E192" s="101"/>
      <c r="F192" s="100"/>
      <c r="G192" s="100"/>
      <c r="H192" s="99"/>
      <c r="I192" s="101"/>
      <c r="L192" s="17"/>
      <c r="M192" s="99"/>
      <c r="N192" s="100"/>
      <c r="O192" s="100"/>
      <c r="P192" s="101"/>
      <c r="Q192" s="100"/>
      <c r="R192" s="100"/>
      <c r="S192" s="99"/>
      <c r="T192" s="101"/>
      <c r="W192" s="17"/>
      <c r="X192" s="99"/>
      <c r="Y192" s="100"/>
      <c r="Z192" s="100"/>
      <c r="AA192" s="101"/>
      <c r="AB192" s="100"/>
      <c r="AC192" s="100"/>
      <c r="AD192" s="99"/>
      <c r="AE192" s="101"/>
    </row>
    <row r="193" spans="1:31" x14ac:dyDescent="0.25">
      <c r="A193" s="19"/>
      <c r="B193" s="102"/>
      <c r="C193" s="102"/>
      <c r="D193" s="102"/>
      <c r="E193" s="103"/>
      <c r="F193" s="102"/>
      <c r="G193" s="103"/>
      <c r="H193" s="102"/>
      <c r="I193" s="103"/>
      <c r="L193" s="19"/>
      <c r="M193" s="102"/>
      <c r="N193" s="102"/>
      <c r="O193" s="102"/>
      <c r="P193" s="103"/>
      <c r="Q193" s="102"/>
      <c r="R193" s="103"/>
      <c r="S193" s="102"/>
      <c r="T193" s="103"/>
      <c r="W193" s="19"/>
      <c r="X193" s="102"/>
      <c r="Y193" s="102"/>
      <c r="Z193" s="102"/>
      <c r="AA193" s="103"/>
      <c r="AB193" s="102"/>
      <c r="AC193" s="103"/>
      <c r="AD193" s="102"/>
      <c r="AE193" s="103"/>
    </row>
    <row r="194" spans="1:31" x14ac:dyDescent="0.25">
      <c r="A194" s="19"/>
      <c r="B194" s="102"/>
      <c r="C194" s="102"/>
      <c r="D194" s="102"/>
      <c r="E194" s="103"/>
      <c r="F194" s="102"/>
      <c r="G194" s="103"/>
      <c r="H194" s="102"/>
      <c r="I194" s="103"/>
      <c r="L194" s="19"/>
      <c r="M194" s="102"/>
      <c r="N194" s="102"/>
      <c r="O194" s="102"/>
      <c r="P194" s="103"/>
      <c r="Q194" s="102"/>
      <c r="R194" s="103"/>
      <c r="S194" s="102"/>
      <c r="T194" s="103"/>
      <c r="W194" s="19"/>
      <c r="X194" s="102"/>
      <c r="Y194" s="102"/>
      <c r="Z194" s="102"/>
      <c r="AA194" s="103"/>
      <c r="AB194" s="102"/>
      <c r="AC194" s="103"/>
      <c r="AD194" s="102"/>
      <c r="AE194" s="103"/>
    </row>
    <row r="195" spans="1:31" x14ac:dyDescent="0.25">
      <c r="A195" s="19"/>
      <c r="B195" s="102"/>
      <c r="C195" s="102"/>
      <c r="D195" s="102"/>
      <c r="E195" s="103"/>
      <c r="F195" s="102"/>
      <c r="G195" s="103"/>
      <c r="H195" s="102"/>
      <c r="I195" s="103"/>
      <c r="L195" s="19"/>
      <c r="M195" s="102"/>
      <c r="N195" s="102"/>
      <c r="O195" s="102"/>
      <c r="P195" s="103"/>
      <c r="Q195" s="102"/>
      <c r="R195" s="103"/>
      <c r="S195" s="102"/>
      <c r="T195" s="103"/>
      <c r="W195" s="19"/>
      <c r="X195" s="102"/>
      <c r="Y195" s="102"/>
      <c r="Z195" s="102"/>
      <c r="AA195" s="103"/>
      <c r="AB195" s="102"/>
      <c r="AC195" s="103"/>
      <c r="AD195" s="102"/>
      <c r="AE195" s="103"/>
    </row>
    <row r="196" spans="1:31" x14ac:dyDescent="0.25">
      <c r="A196" s="19"/>
      <c r="B196" s="102"/>
      <c r="C196" s="102"/>
      <c r="D196" s="102"/>
      <c r="E196" s="103"/>
      <c r="F196" s="102"/>
      <c r="G196" s="103"/>
      <c r="H196" s="102"/>
      <c r="I196" s="103"/>
      <c r="L196" s="19"/>
      <c r="M196" s="102"/>
      <c r="N196" s="102"/>
      <c r="O196" s="102"/>
      <c r="P196" s="103"/>
      <c r="Q196" s="102"/>
      <c r="R196" s="103"/>
      <c r="S196" s="102"/>
      <c r="T196" s="103"/>
      <c r="W196" s="19"/>
      <c r="X196" s="102"/>
      <c r="Y196" s="102"/>
      <c r="Z196" s="102"/>
      <c r="AA196" s="103"/>
      <c r="AB196" s="102"/>
      <c r="AC196" s="103"/>
      <c r="AD196" s="102"/>
      <c r="AE196" s="103"/>
    </row>
    <row r="197" spans="1:31" x14ac:dyDescent="0.25">
      <c r="A197" s="19"/>
      <c r="B197" s="102"/>
      <c r="C197" s="102"/>
      <c r="D197" s="102"/>
      <c r="E197" s="103"/>
      <c r="F197" s="102"/>
      <c r="G197" s="103"/>
      <c r="H197" s="102"/>
      <c r="I197" s="147"/>
      <c r="L197" s="19"/>
      <c r="M197" s="102"/>
      <c r="N197" s="102"/>
      <c r="O197" s="102"/>
      <c r="P197" s="103"/>
      <c r="Q197" s="102"/>
      <c r="R197" s="103"/>
      <c r="S197" s="102"/>
      <c r="T197" s="147"/>
      <c r="W197" s="19"/>
      <c r="X197" s="102"/>
      <c r="Y197" s="102"/>
      <c r="Z197" s="102"/>
      <c r="AA197" s="103"/>
      <c r="AB197" s="102"/>
      <c r="AC197" s="103"/>
      <c r="AD197" s="102"/>
      <c r="AE197" s="147"/>
    </row>
    <row r="198" spans="1:31" x14ac:dyDescent="0.25">
      <c r="A198" s="129"/>
      <c r="B198" s="129"/>
      <c r="C198" s="129"/>
      <c r="D198" s="129"/>
      <c r="E198" s="129"/>
      <c r="F198" s="129"/>
      <c r="G198" s="129"/>
      <c r="H198" s="129"/>
      <c r="I198" s="129"/>
      <c r="L198" s="129"/>
      <c r="M198" s="129"/>
      <c r="N198" s="129"/>
      <c r="O198" s="129"/>
      <c r="P198" s="129"/>
      <c r="Q198" s="129"/>
      <c r="R198" s="129"/>
      <c r="S198" s="129"/>
      <c r="T198" s="129"/>
      <c r="W198" s="129"/>
      <c r="X198" s="129"/>
      <c r="Y198" s="129"/>
      <c r="Z198" s="129"/>
      <c r="AA198" s="129"/>
      <c r="AB198" s="129"/>
      <c r="AC198" s="129"/>
      <c r="AD198" s="129"/>
      <c r="AE198" s="129"/>
    </row>
    <row r="199" spans="1:31" x14ac:dyDescent="0.25">
      <c r="A199" s="130" t="s">
        <v>85</v>
      </c>
      <c r="B199" s="131"/>
      <c r="C199" s="136" t="s">
        <v>86</v>
      </c>
      <c r="D199" s="137"/>
      <c r="E199" s="56" t="s">
        <v>164</v>
      </c>
      <c r="F199" s="145">
        <f>IF(ISBLANK(F175),"",IF(ISERROR(VLOOKUP(F175,PAPELERIA_PAPEL_Y_LÁPIZ,13,FALSE)),"El dato no existe",VLOOKUP(F175,PAPELERIA_PAPEL_Y_LÁPIZ,13,FALSE)))</f>
        <v>23875</v>
      </c>
      <c r="G199" s="145"/>
      <c r="H199" s="145"/>
      <c r="I199" s="146"/>
      <c r="L199" s="130" t="s">
        <v>85</v>
      </c>
      <c r="M199" s="131"/>
      <c r="N199" s="136" t="s">
        <v>86</v>
      </c>
      <c r="O199" s="137"/>
      <c r="P199" s="56" t="s">
        <v>164</v>
      </c>
      <c r="Q199" s="145">
        <f>IF(ISBLANK(Q175),"",IF(ISERROR(VLOOKUP(Q175,PAPELERIA_PAPEL_Y_LÁPIZ,13,FALSE)),"El dato no existe",VLOOKUP(Q175,PAPELERIA_PAPEL_Y_LÁPIZ,13,FALSE)))</f>
        <v>255360</v>
      </c>
      <c r="R199" s="145"/>
      <c r="S199" s="145"/>
      <c r="T199" s="146"/>
      <c r="W199" s="130" t="s">
        <v>85</v>
      </c>
      <c r="X199" s="131"/>
      <c r="Y199" s="136" t="s">
        <v>86</v>
      </c>
      <c r="Z199" s="137"/>
      <c r="AA199" s="56" t="s">
        <v>164</v>
      </c>
      <c r="AB199" s="145">
        <f>IF(ISBLANK(AB175),"",IF(ISERROR(VLOOKUP(AB175,PAPELERIA_PAPEL_Y_LÁPIZ,13,FALSE)),"El dato no existe",VLOOKUP(AB175,PAPELERIA_PAPEL_Y_LÁPIZ,13,FALSE)))</f>
        <v>388075</v>
      </c>
      <c r="AC199" s="145"/>
      <c r="AD199" s="145"/>
      <c r="AE199" s="146"/>
    </row>
    <row r="200" spans="1:31" x14ac:dyDescent="0.25">
      <c r="A200" s="132"/>
      <c r="B200" s="133"/>
      <c r="C200" s="138"/>
      <c r="D200" s="139"/>
      <c r="E200" s="140"/>
      <c r="F200" s="141"/>
      <c r="G200" s="141"/>
      <c r="H200" s="141"/>
      <c r="I200" s="142"/>
      <c r="L200" s="132"/>
      <c r="M200" s="133"/>
      <c r="N200" s="138"/>
      <c r="O200" s="139"/>
      <c r="P200" s="140"/>
      <c r="Q200" s="141"/>
      <c r="R200" s="141"/>
      <c r="S200" s="141"/>
      <c r="T200" s="142"/>
      <c r="W200" s="132"/>
      <c r="X200" s="133"/>
      <c r="Y200" s="138"/>
      <c r="Z200" s="139"/>
      <c r="AA200" s="140"/>
      <c r="AB200" s="141"/>
      <c r="AC200" s="141"/>
      <c r="AD200" s="141"/>
      <c r="AE200" s="142"/>
    </row>
    <row r="201" spans="1:31" x14ac:dyDescent="0.25">
      <c r="A201" s="134"/>
      <c r="B201" s="135"/>
      <c r="C201" s="143" t="s">
        <v>87</v>
      </c>
      <c r="D201" s="144"/>
      <c r="E201" s="56"/>
      <c r="F201" s="145">
        <f>IF(ISBLANK(F175),"",IF(ISERROR(VLOOKUP(F175,PAPELERIA_PAPEL_Y_LÁPIZ,16,FALSE)),"El dato no existe",VLOOKUP(F175,PAPELERIA_PAPEL_Y_LÁPIZ,16,FALSE)))</f>
        <v>23039.375</v>
      </c>
      <c r="G201" s="145"/>
      <c r="H201" s="145"/>
      <c r="I201" s="146"/>
      <c r="L201" s="134"/>
      <c r="M201" s="135"/>
      <c r="N201" s="143" t="s">
        <v>87</v>
      </c>
      <c r="O201" s="144"/>
      <c r="P201" s="56"/>
      <c r="Q201" s="145">
        <f>IF(ISBLANK(Q175),"",IF(ISERROR(VLOOKUP(Q175,PAPELERIA_PAPEL_Y_LÁPIZ,16,FALSE)),"El dato no existe",VLOOKUP(Q175,PAPELERIA_PAPEL_Y_LÁPIZ,16,FALSE)))</f>
        <v>294940.80000000005</v>
      </c>
      <c r="R201" s="145"/>
      <c r="S201" s="145"/>
      <c r="T201" s="146"/>
      <c r="W201" s="134"/>
      <c r="X201" s="135"/>
      <c r="Y201" s="143" t="s">
        <v>87</v>
      </c>
      <c r="Z201" s="144"/>
      <c r="AA201" s="56"/>
      <c r="AB201" s="145">
        <f>IF(ISBLANK(AB175),"",IF(ISERROR(VLOOKUP(AB175,PAPELERIA_PAPEL_Y_LÁPIZ,16,FALSE)),"El dato no existe",VLOOKUP(AB175,PAPELERIA_PAPEL_Y_LÁPIZ,16,FALSE)))</f>
        <v>448226.625</v>
      </c>
      <c r="AC201" s="145"/>
      <c r="AD201" s="145"/>
      <c r="AE201" s="146"/>
    </row>
    <row r="204" spans="1:31" x14ac:dyDescent="0.25">
      <c r="A204" s="110" t="s">
        <v>96</v>
      </c>
      <c r="B204" s="111"/>
      <c r="C204" s="111"/>
      <c r="D204" s="112"/>
      <c r="E204" s="116" t="s">
        <v>78</v>
      </c>
      <c r="F204" s="118">
        <v>708</v>
      </c>
      <c r="G204" s="118"/>
      <c r="H204" s="118"/>
      <c r="I204" s="118"/>
      <c r="L204" s="110" t="s">
        <v>96</v>
      </c>
      <c r="M204" s="111"/>
      <c r="N204" s="111"/>
      <c r="O204" s="112"/>
      <c r="P204" s="116" t="s">
        <v>78</v>
      </c>
      <c r="Q204" s="118">
        <v>718</v>
      </c>
      <c r="R204" s="118"/>
      <c r="S204" s="118"/>
      <c r="T204" s="118"/>
      <c r="W204" s="110" t="s">
        <v>96</v>
      </c>
      <c r="X204" s="111"/>
      <c r="Y204" s="111"/>
      <c r="Z204" s="112"/>
      <c r="AA204" s="116" t="s">
        <v>78</v>
      </c>
      <c r="AB204" s="118">
        <v>728</v>
      </c>
      <c r="AC204" s="118"/>
      <c r="AD204" s="118"/>
      <c r="AE204" s="118"/>
    </row>
    <row r="205" spans="1:31" x14ac:dyDescent="0.25">
      <c r="A205" s="113"/>
      <c r="B205" s="114"/>
      <c r="C205" s="114"/>
      <c r="D205" s="115"/>
      <c r="E205" s="117"/>
      <c r="F205" s="118"/>
      <c r="G205" s="118"/>
      <c r="H205" s="118"/>
      <c r="I205" s="118"/>
      <c r="L205" s="113"/>
      <c r="M205" s="114"/>
      <c r="N205" s="114"/>
      <c r="O205" s="115"/>
      <c r="P205" s="117"/>
      <c r="Q205" s="118"/>
      <c r="R205" s="118"/>
      <c r="S205" s="118"/>
      <c r="T205" s="118"/>
      <c r="W205" s="113"/>
      <c r="X205" s="114"/>
      <c r="Y205" s="114"/>
      <c r="Z205" s="115"/>
      <c r="AA205" s="117"/>
      <c r="AB205" s="118"/>
      <c r="AC205" s="118"/>
      <c r="AD205" s="118"/>
      <c r="AE205" s="118"/>
    </row>
    <row r="206" spans="1:31" x14ac:dyDescent="0.25">
      <c r="A206" s="119" t="s">
        <v>3</v>
      </c>
      <c r="B206" s="121" t="str">
        <f>IF(ISBLANK(F204),"",IF(ISERROR(VLOOKUP(F204,PAPELERIA_PAPEL_Y_LÁPIZ,3,FALSE)),"El dato no existe",VLOOKUP(F204,PAPELERIA_PAPEL_Y_LÁPIZ,3,FALSE)))</f>
        <v>CORPORACIÓN UNIVERSITARIA MARÍA</v>
      </c>
      <c r="C206" s="121"/>
      <c r="D206" s="121"/>
      <c r="E206" s="122"/>
      <c r="F206" s="125" t="s">
        <v>79</v>
      </c>
      <c r="G206" s="125"/>
      <c r="H206" s="125"/>
      <c r="I206" s="126"/>
      <c r="L206" s="119" t="s">
        <v>3</v>
      </c>
      <c r="M206" s="121" t="str">
        <f>IF(ISBLANK(Q204),"",IF(ISERROR(VLOOKUP(Q204,PAPELERIA_PAPEL_Y_LÁPIZ,3,FALSE)),"El dato no existe",VLOOKUP(Q204,PAPELERIA_PAPEL_Y_LÁPIZ,3,FALSE)))</f>
        <v>FUNDACIÓN UNIVERSITARIA INPAHU</v>
      </c>
      <c r="N206" s="121"/>
      <c r="O206" s="121"/>
      <c r="P206" s="122"/>
      <c r="Q206" s="125" t="s">
        <v>79</v>
      </c>
      <c r="R206" s="125"/>
      <c r="S206" s="125"/>
      <c r="T206" s="126"/>
      <c r="W206" s="119" t="s">
        <v>3</v>
      </c>
      <c r="X206" s="121" t="str">
        <f>IF(ISBLANK(AB204),"",IF(ISERROR(VLOOKUP(AB204,PAPELERIA_PAPEL_Y_LÁPIZ,3,FALSE)),"El dato no existe",VLOOKUP(AB204,PAPELERIA_PAPEL_Y_LÁPIZ,3,FALSE)))</f>
        <v>UNIPANAMERICANA</v>
      </c>
      <c r="Y206" s="121"/>
      <c r="Z206" s="121"/>
      <c r="AA206" s="122"/>
      <c r="AB206" s="125" t="s">
        <v>79</v>
      </c>
      <c r="AC206" s="125"/>
      <c r="AD206" s="125"/>
      <c r="AE206" s="126"/>
    </row>
    <row r="207" spans="1:31" x14ac:dyDescent="0.25">
      <c r="A207" s="120"/>
      <c r="B207" s="123"/>
      <c r="C207" s="123"/>
      <c r="D207" s="123"/>
      <c r="E207" s="124"/>
      <c r="F207" s="127">
        <v>26</v>
      </c>
      <c r="G207" s="128"/>
      <c r="H207" s="30">
        <v>11</v>
      </c>
      <c r="I207" s="28">
        <v>2018</v>
      </c>
      <c r="L207" s="120"/>
      <c r="M207" s="123"/>
      <c r="N207" s="123"/>
      <c r="O207" s="123"/>
      <c r="P207" s="124"/>
      <c r="Q207" s="127">
        <v>26</v>
      </c>
      <c r="R207" s="128"/>
      <c r="S207" s="30">
        <v>11</v>
      </c>
      <c r="T207" s="28">
        <v>2018</v>
      </c>
      <c r="W207" s="120"/>
      <c r="X207" s="123"/>
      <c r="Y207" s="123"/>
      <c r="Z207" s="123"/>
      <c r="AA207" s="124"/>
      <c r="AB207" s="127">
        <v>26</v>
      </c>
      <c r="AC207" s="128"/>
      <c r="AD207" s="30">
        <v>11</v>
      </c>
      <c r="AE207" s="28">
        <v>2018</v>
      </c>
    </row>
    <row r="208" spans="1:31" x14ac:dyDescent="0.25">
      <c r="A208" s="29" t="s">
        <v>95</v>
      </c>
      <c r="B208" s="94" t="str">
        <f>IF(ISBLANK(F204),"",IF(ISERROR(VLOOKUP(F204,PAPELERIA_PAPEL_Y_LÁPIZ,2,FALSE)),"El dato no existe",VLOOKUP(F204,PAPELERIA_PAPEL_Y_LÁPIZ,2,FALSE)))</f>
        <v>860504543-1</v>
      </c>
      <c r="C208" s="95"/>
      <c r="D208" s="29" t="s">
        <v>94</v>
      </c>
      <c r="E208" s="93" t="str">
        <f>IF(ISBLANK(F204),"",IF(ISERROR(VLOOKUP(F204,PAPELERIA_PAPEL_Y_LÁPIZ,5,FALSE)),"El dato no existe",VLOOKUP(F204,PAPELERIA_PAPEL_Y_LÁPIZ,5,FALSE)))</f>
        <v>Carrera 23 N° 63-36</v>
      </c>
      <c r="F208" s="93"/>
      <c r="G208" s="93"/>
      <c r="H208" s="93"/>
      <c r="I208" s="93"/>
      <c r="L208" s="29" t="s">
        <v>95</v>
      </c>
      <c r="M208" s="94" t="str">
        <f>IF(ISBLANK(Q204),"",IF(ISERROR(VLOOKUP(Q204,PAPELERIA_PAPEL_Y_LÁPIZ,2,FALSE)),"El dato no existe",VLOOKUP(Q204,PAPELERIA_PAPEL_Y_LÁPIZ,2,FALSE)))</f>
        <v>860421734-9</v>
      </c>
      <c r="N208" s="95"/>
      <c r="O208" s="29" t="s">
        <v>94</v>
      </c>
      <c r="P208" s="93" t="str">
        <f>IF(ISBLANK(Q204),"",IF(ISERROR(VLOOKUP(Q204,PAPELERIA_PAPEL_Y_LÁPIZ,5,FALSE)),"El dato no existe",VLOOKUP(Q204,PAPELERIA_PAPEL_Y_LÁPIZ,5,FALSE)))</f>
        <v>Calle 30 N° 35-18</v>
      </c>
      <c r="Q208" s="93"/>
      <c r="R208" s="93"/>
      <c r="S208" s="93"/>
      <c r="T208" s="93"/>
      <c r="W208" s="29" t="s">
        <v>95</v>
      </c>
      <c r="X208" s="94" t="str">
        <f>IF(ISBLANK(AB204),"",IF(ISERROR(VLOOKUP(AB204,PAPELERIA_PAPEL_Y_LÁPIZ,2,FALSE)),"El dato no existe",VLOOKUP(AB204,PAPELERIA_PAPEL_Y_LÁPIZ,2,FALSE)))</f>
        <v>860503837-7</v>
      </c>
      <c r="Y208" s="95"/>
      <c r="Z208" s="29" t="s">
        <v>94</v>
      </c>
      <c r="AA208" s="93" t="str">
        <f>IF(ISBLANK(AB204),"",IF(ISERROR(VLOOKUP(AB204,PAPELERIA_PAPEL_Y_LÁPIZ,5,FALSE)),"El dato no existe",VLOOKUP(AB204,PAPELERIA_PAPEL_Y_LÁPIZ,5,FALSE)))</f>
        <v>Calle 76 N° 12-58</v>
      </c>
      <c r="AB208" s="93"/>
      <c r="AC208" s="93"/>
      <c r="AD208" s="93"/>
      <c r="AE208" s="93"/>
    </row>
    <row r="209" spans="1:31" x14ac:dyDescent="0.25">
      <c r="A209" s="31" t="s">
        <v>80</v>
      </c>
      <c r="B209" s="94">
        <f>IF(ISBLANK(F204),"",IF(ISERROR(VLOOKUP(F204,PAPELERIA_PAPEL_Y_LÁPIZ,4,FALSE)),"El dato no existe",VLOOKUP(F204,PAPELERIA_PAPEL_Y_LÁPIZ,4,FALSE)))</f>
        <v>5446573</v>
      </c>
      <c r="C209" s="95"/>
      <c r="D209" s="91" t="s">
        <v>91</v>
      </c>
      <c r="E209" s="92"/>
      <c r="F209" s="96" t="str">
        <f>IF(ISBLANK(F204),"",IF(ISERROR(VLOOKUP(F204,PAPELERIA_PAPEL_Y_LÁPIZ,17,FALSE)),"El dato no existe",VLOOKUP(F204,PAPELERIA_PAPEL_Y_LÁPIZ,17,FALSE)))</f>
        <v>CONTADO</v>
      </c>
      <c r="G209" s="97"/>
      <c r="H209" s="97"/>
      <c r="I209" s="98"/>
      <c r="L209" s="31" t="s">
        <v>80</v>
      </c>
      <c r="M209" s="94">
        <f>IF(ISBLANK(Q204),"",IF(ISERROR(VLOOKUP(Q204,PAPELERIA_PAPEL_Y_LÁPIZ,4,FALSE)),"El dato no existe",VLOOKUP(Q204,PAPELERIA_PAPEL_Y_LÁPIZ,4,FALSE)))</f>
        <v>2459170</v>
      </c>
      <c r="N209" s="95"/>
      <c r="O209" s="91" t="s">
        <v>91</v>
      </c>
      <c r="P209" s="92"/>
      <c r="Q209" s="96" t="str">
        <f>IF(ISBLANK(Q204),"",IF(ISERROR(VLOOKUP(Q204,PAPELERIA_PAPEL_Y_LÁPIZ,17,FALSE)),"El dato no existe",VLOOKUP(Q204,PAPELERIA_PAPEL_Y_LÁPIZ,17,FALSE)))</f>
        <v>CONTADO</v>
      </c>
      <c r="R209" s="97"/>
      <c r="S209" s="97"/>
      <c r="T209" s="98"/>
      <c r="W209" s="31" t="s">
        <v>80</v>
      </c>
      <c r="X209" s="94">
        <f>IF(ISBLANK(AB204),"",IF(ISERROR(VLOOKUP(AB204,PAPELERIA_PAPEL_Y_LÁPIZ,4,FALSE)),"El dato no existe",VLOOKUP(AB204,PAPELERIA_PAPEL_Y_LÁPIZ,4,FALSE)))</f>
        <v>7434343</v>
      </c>
      <c r="Y209" s="95"/>
      <c r="Z209" s="91" t="s">
        <v>91</v>
      </c>
      <c r="AA209" s="92"/>
      <c r="AB209" s="96" t="str">
        <f>IF(ISBLANK(AB204),"",IF(ISERROR(VLOOKUP(AB204,PAPELERIA_PAPEL_Y_LÁPIZ,17,FALSE)),"El dato no existe",VLOOKUP(AB204,PAPELERIA_PAPEL_Y_LÁPIZ,17,FALSE)))</f>
        <v>CRÉDITO</v>
      </c>
      <c r="AC209" s="97"/>
      <c r="AD209" s="97"/>
      <c r="AE209" s="98"/>
    </row>
    <row r="210" spans="1:31" x14ac:dyDescent="0.25">
      <c r="A210" s="16" t="s">
        <v>81</v>
      </c>
      <c r="B210" s="86" t="s">
        <v>82</v>
      </c>
      <c r="C210" s="87"/>
      <c r="D210" s="87"/>
      <c r="E210" s="88"/>
      <c r="F210" s="89" t="s">
        <v>83</v>
      </c>
      <c r="G210" s="90"/>
      <c r="H210" s="86" t="s">
        <v>84</v>
      </c>
      <c r="I210" s="88"/>
      <c r="L210" s="16" t="s">
        <v>81</v>
      </c>
      <c r="M210" s="86" t="s">
        <v>82</v>
      </c>
      <c r="N210" s="87"/>
      <c r="O210" s="87"/>
      <c r="P210" s="88"/>
      <c r="Q210" s="89" t="s">
        <v>83</v>
      </c>
      <c r="R210" s="90"/>
      <c r="S210" s="86" t="s">
        <v>84</v>
      </c>
      <c r="T210" s="88"/>
      <c r="W210" s="16" t="s">
        <v>81</v>
      </c>
      <c r="X210" s="86" t="s">
        <v>82</v>
      </c>
      <c r="Y210" s="87"/>
      <c r="Z210" s="87"/>
      <c r="AA210" s="88"/>
      <c r="AB210" s="89" t="s">
        <v>83</v>
      </c>
      <c r="AC210" s="90"/>
      <c r="AD210" s="86" t="s">
        <v>84</v>
      </c>
      <c r="AE210" s="88"/>
    </row>
    <row r="211" spans="1:31" x14ac:dyDescent="0.25">
      <c r="A211" s="17">
        <f>IF(ISBLANK(F204),"",IF(ISERROR(VLOOKUP(F204,PAPELERIA_PAPEL_Y_LÁPIZ,8,FALSE)),"El dato no existe",VLOOKUP(F204,PAPELERIA_PAPEL_Y_LÁPIZ,8,FALSE)))</f>
        <v>15</v>
      </c>
      <c r="B211" s="99" t="str">
        <f>IF(ISBLANK(F204),"",IF(ISERROR(VLOOKUP(F204,PAPELERIA_PAPEL_Y_LÁPIZ,7,FALSE)),"El dato no existe",VLOOKUP(F204,PAPELERIA_PAPEL_Y_LÁPIZ,7,FALSE)))</f>
        <v>LIBRO CONTABLE</v>
      </c>
      <c r="C211" s="100"/>
      <c r="D211" s="100"/>
      <c r="E211" s="101"/>
      <c r="F211" s="106">
        <f>IF(ISBLANK(F204),"",IF(ISERROR(VLOOKUP(F204,PAPELERIA_PAPEL_Y_LÁPIZ,10,FALSE)),"El dato no existe",VLOOKUP(F204,PAPELERIA_PAPEL_Y_LÁPIZ,10,FALSE)))</f>
        <v>4500</v>
      </c>
      <c r="G211" s="107"/>
      <c r="H211" s="108">
        <f>IF(ISBLANK(F204),"",IF(ISERROR(VLOOKUP(F204,PAPELERIA_PAPEL_Y_LÁPIZ,11,FALSE)),"El dato no existe",VLOOKUP(F204,PAPELERIA_PAPEL_Y_LÁPIZ,11,FALSE)))</f>
        <v>67500</v>
      </c>
      <c r="I211" s="109"/>
      <c r="L211" s="17">
        <f>IF(ISBLANK(Q204),"",IF(ISERROR(VLOOKUP(Q204,PAPELERIA_PAPEL_Y_LÁPIZ,8,FALSE)),"El dato no existe",VLOOKUP(Q204,PAPELERIA_PAPEL_Y_LÁPIZ,8,FALSE)))</f>
        <v>37</v>
      </c>
      <c r="M211" s="99" t="str">
        <f>IF(ISBLANK(Q204),"",IF(ISERROR(VLOOKUP(Q204,PAPELERIA_PAPEL_Y_LÁPIZ,7,FALSE)),"El dato no existe",VLOOKUP(Q204,PAPELERIA_PAPEL_Y_LÁPIZ,7,FALSE)))</f>
        <v>GRAPADORA PEQUEÑA</v>
      </c>
      <c r="N211" s="100"/>
      <c r="O211" s="100"/>
      <c r="P211" s="101"/>
      <c r="Q211" s="106">
        <f>IF(ISBLANK(Q204),"",IF(ISERROR(VLOOKUP(Q204,PAPELERIA_PAPEL_Y_LÁPIZ,10,FALSE)),"El dato no existe",VLOOKUP(Q204,PAPELERIA_PAPEL_Y_LÁPIZ,10,FALSE)))</f>
        <v>2456</v>
      </c>
      <c r="R211" s="107"/>
      <c r="S211" s="108">
        <f>IF(ISBLANK(Q204),"",IF(ISERROR(VLOOKUP(Q204,PAPELERIA_PAPEL_Y_LÁPIZ,11,FALSE)),"El dato no existe",VLOOKUP(Q204,PAPELERIA_PAPEL_Y_LÁPIZ,11,FALSE)))</f>
        <v>90872</v>
      </c>
      <c r="T211" s="109"/>
      <c r="W211" s="17">
        <f>IF(ISBLANK(AB204),"",IF(ISERROR(VLOOKUP(AB204,PAPELERIA_PAPEL_Y_LÁPIZ,8,FALSE)),"El dato no existe",VLOOKUP(AB204,PAPELERIA_PAPEL_Y_LÁPIZ,8,FALSE)))</f>
        <v>22</v>
      </c>
      <c r="X211" s="99" t="str">
        <f>IF(ISBLANK(AB204),"",IF(ISERROR(VLOOKUP(AB204,PAPELERIA_PAPEL_Y_LÁPIZ,7,FALSE)),"El dato no existe",VLOOKUP(AB204,PAPELERIA_PAPEL_Y_LÁPIZ,7,FALSE)))</f>
        <v xml:space="preserve">CRAYOLAS </v>
      </c>
      <c r="Y211" s="100"/>
      <c r="Z211" s="100"/>
      <c r="AA211" s="101"/>
      <c r="AB211" s="106">
        <f>IF(ISBLANK(AB204),"",IF(ISERROR(VLOOKUP(AB204,PAPELERIA_PAPEL_Y_LÁPIZ,10,FALSE)),"El dato no existe",VLOOKUP(AB204,PAPELERIA_PAPEL_Y_LÁPIZ,10,FALSE)))</f>
        <v>1000</v>
      </c>
      <c r="AC211" s="107"/>
      <c r="AD211" s="108">
        <f>IF(ISBLANK(AB204),"",IF(ISERROR(VLOOKUP(AB204,PAPELERIA_PAPEL_Y_LÁPIZ,11,FALSE)),"El dato no existe",VLOOKUP(AB204,PAPELERIA_PAPEL_Y_LÁPIZ,11,FALSE)))</f>
        <v>22000</v>
      </c>
      <c r="AE211" s="109"/>
    </row>
    <row r="212" spans="1:31" x14ac:dyDescent="0.25">
      <c r="A212" s="18"/>
      <c r="B212" s="104"/>
      <c r="C212" s="104"/>
      <c r="D212" s="104"/>
      <c r="E212" s="105"/>
      <c r="F212" s="104"/>
      <c r="G212" s="105"/>
      <c r="H212" s="104"/>
      <c r="I212" s="105"/>
      <c r="L212" s="18"/>
      <c r="M212" s="104"/>
      <c r="N212" s="104"/>
      <c r="O212" s="104"/>
      <c r="P212" s="105"/>
      <c r="Q212" s="104"/>
      <c r="R212" s="105"/>
      <c r="S212" s="104"/>
      <c r="T212" s="105"/>
      <c r="W212" s="18"/>
      <c r="X212" s="104"/>
      <c r="Y212" s="104"/>
      <c r="Z212" s="104"/>
      <c r="AA212" s="105"/>
      <c r="AB212" s="104"/>
      <c r="AC212" s="105"/>
      <c r="AD212" s="104"/>
      <c r="AE212" s="105"/>
    </row>
    <row r="213" spans="1:31" x14ac:dyDescent="0.25">
      <c r="A213" s="17"/>
      <c r="B213" s="99"/>
      <c r="C213" s="100"/>
      <c r="D213" s="100"/>
      <c r="E213" s="101"/>
      <c r="F213" s="100"/>
      <c r="G213" s="100"/>
      <c r="H213" s="99"/>
      <c r="I213" s="101"/>
      <c r="L213" s="17"/>
      <c r="M213" s="99"/>
      <c r="N213" s="100"/>
      <c r="O213" s="100"/>
      <c r="P213" s="101"/>
      <c r="Q213" s="100"/>
      <c r="R213" s="100"/>
      <c r="S213" s="99"/>
      <c r="T213" s="101"/>
      <c r="W213" s="17"/>
      <c r="X213" s="99"/>
      <c r="Y213" s="100"/>
      <c r="Z213" s="100"/>
      <c r="AA213" s="101"/>
      <c r="AB213" s="100"/>
      <c r="AC213" s="100"/>
      <c r="AD213" s="99"/>
      <c r="AE213" s="101"/>
    </row>
    <row r="214" spans="1:31" x14ac:dyDescent="0.25">
      <c r="A214" s="18"/>
      <c r="B214" s="104"/>
      <c r="C214" s="104"/>
      <c r="D214" s="104"/>
      <c r="E214" s="105"/>
      <c r="F214" s="104"/>
      <c r="G214" s="105"/>
      <c r="H214" s="104"/>
      <c r="I214" s="105"/>
      <c r="L214" s="18"/>
      <c r="M214" s="104"/>
      <c r="N214" s="104"/>
      <c r="O214" s="104"/>
      <c r="P214" s="105"/>
      <c r="Q214" s="104"/>
      <c r="R214" s="105"/>
      <c r="S214" s="104"/>
      <c r="T214" s="105"/>
      <c r="W214" s="18"/>
      <c r="X214" s="104"/>
      <c r="Y214" s="104"/>
      <c r="Z214" s="104"/>
      <c r="AA214" s="105"/>
      <c r="AB214" s="104"/>
      <c r="AC214" s="105"/>
      <c r="AD214" s="104"/>
      <c r="AE214" s="105"/>
    </row>
    <row r="215" spans="1:31" x14ac:dyDescent="0.25">
      <c r="A215" s="17"/>
      <c r="B215" s="99"/>
      <c r="C215" s="100"/>
      <c r="D215" s="100"/>
      <c r="E215" s="101"/>
      <c r="F215" s="100"/>
      <c r="G215" s="100"/>
      <c r="H215" s="99"/>
      <c r="I215" s="101"/>
      <c r="L215" s="17"/>
      <c r="M215" s="99"/>
      <c r="N215" s="100"/>
      <c r="O215" s="100"/>
      <c r="P215" s="101"/>
      <c r="Q215" s="100"/>
      <c r="R215" s="100"/>
      <c r="S215" s="99"/>
      <c r="T215" s="101"/>
      <c r="W215" s="17"/>
      <c r="X215" s="99"/>
      <c r="Y215" s="100"/>
      <c r="Z215" s="100"/>
      <c r="AA215" s="101"/>
      <c r="AB215" s="100"/>
      <c r="AC215" s="100"/>
      <c r="AD215" s="99"/>
      <c r="AE215" s="101"/>
    </row>
    <row r="216" spans="1:31" x14ac:dyDescent="0.25">
      <c r="A216" s="19"/>
      <c r="B216" s="102"/>
      <c r="C216" s="102"/>
      <c r="D216" s="102"/>
      <c r="E216" s="103"/>
      <c r="F216" s="102"/>
      <c r="G216" s="103"/>
      <c r="H216" s="102"/>
      <c r="I216" s="103"/>
      <c r="L216" s="19"/>
      <c r="M216" s="102"/>
      <c r="N216" s="102"/>
      <c r="O216" s="102"/>
      <c r="P216" s="103"/>
      <c r="Q216" s="102"/>
      <c r="R216" s="103"/>
      <c r="S216" s="102"/>
      <c r="T216" s="103"/>
      <c r="W216" s="19"/>
      <c r="X216" s="102"/>
      <c r="Y216" s="102"/>
      <c r="Z216" s="102"/>
      <c r="AA216" s="103"/>
      <c r="AB216" s="102"/>
      <c r="AC216" s="103"/>
      <c r="AD216" s="102"/>
      <c r="AE216" s="103"/>
    </row>
    <row r="217" spans="1:31" x14ac:dyDescent="0.25">
      <c r="A217" s="17"/>
      <c r="B217" s="99"/>
      <c r="C217" s="100"/>
      <c r="D217" s="100"/>
      <c r="E217" s="101"/>
      <c r="F217" s="100"/>
      <c r="G217" s="100"/>
      <c r="H217" s="99"/>
      <c r="I217" s="101"/>
      <c r="L217" s="17"/>
      <c r="M217" s="99"/>
      <c r="N217" s="100"/>
      <c r="O217" s="100"/>
      <c r="P217" s="101"/>
      <c r="Q217" s="100"/>
      <c r="R217" s="100"/>
      <c r="S217" s="99"/>
      <c r="T217" s="101"/>
      <c r="W217" s="17"/>
      <c r="X217" s="99"/>
      <c r="Y217" s="100"/>
      <c r="Z217" s="100"/>
      <c r="AA217" s="101"/>
      <c r="AB217" s="100"/>
      <c r="AC217" s="100"/>
      <c r="AD217" s="99"/>
      <c r="AE217" s="101"/>
    </row>
    <row r="218" spans="1:31" x14ac:dyDescent="0.25">
      <c r="A218" s="19"/>
      <c r="B218" s="102"/>
      <c r="C218" s="102"/>
      <c r="D218" s="102"/>
      <c r="E218" s="103"/>
      <c r="F218" s="102"/>
      <c r="G218" s="103"/>
      <c r="H218" s="102"/>
      <c r="I218" s="103"/>
      <c r="L218" s="19"/>
      <c r="M218" s="102"/>
      <c r="N218" s="102"/>
      <c r="O218" s="102"/>
      <c r="P218" s="103"/>
      <c r="Q218" s="102"/>
      <c r="R218" s="103"/>
      <c r="S218" s="102"/>
      <c r="T218" s="103"/>
      <c r="W218" s="19"/>
      <c r="X218" s="102"/>
      <c r="Y218" s="102"/>
      <c r="Z218" s="102"/>
      <c r="AA218" s="103"/>
      <c r="AB218" s="102"/>
      <c r="AC218" s="103"/>
      <c r="AD218" s="102"/>
      <c r="AE218" s="103"/>
    </row>
    <row r="219" spans="1:31" x14ac:dyDescent="0.25">
      <c r="A219" s="19"/>
      <c r="B219" s="102"/>
      <c r="C219" s="102"/>
      <c r="D219" s="102"/>
      <c r="E219" s="103"/>
      <c r="F219" s="102"/>
      <c r="G219" s="103"/>
      <c r="H219" s="102"/>
      <c r="I219" s="103"/>
      <c r="L219" s="19"/>
      <c r="M219" s="102"/>
      <c r="N219" s="102"/>
      <c r="O219" s="102"/>
      <c r="P219" s="103"/>
      <c r="Q219" s="102"/>
      <c r="R219" s="103"/>
      <c r="S219" s="102"/>
      <c r="T219" s="103"/>
      <c r="W219" s="19"/>
      <c r="X219" s="102"/>
      <c r="Y219" s="102"/>
      <c r="Z219" s="102"/>
      <c r="AA219" s="103"/>
      <c r="AB219" s="102"/>
      <c r="AC219" s="103"/>
      <c r="AD219" s="102"/>
      <c r="AE219" s="103"/>
    </row>
    <row r="220" spans="1:31" x14ac:dyDescent="0.25">
      <c r="A220" s="18"/>
      <c r="B220" s="104"/>
      <c r="C220" s="104"/>
      <c r="D220" s="104"/>
      <c r="E220" s="105"/>
      <c r="F220" s="104"/>
      <c r="G220" s="105"/>
      <c r="H220" s="104"/>
      <c r="I220" s="105"/>
      <c r="L220" s="18"/>
      <c r="M220" s="104"/>
      <c r="N220" s="104"/>
      <c r="O220" s="104"/>
      <c r="P220" s="105"/>
      <c r="Q220" s="104"/>
      <c r="R220" s="105"/>
      <c r="S220" s="104"/>
      <c r="T220" s="105"/>
      <c r="W220" s="18"/>
      <c r="X220" s="104"/>
      <c r="Y220" s="104"/>
      <c r="Z220" s="104"/>
      <c r="AA220" s="105"/>
      <c r="AB220" s="104"/>
      <c r="AC220" s="105"/>
      <c r="AD220" s="104"/>
      <c r="AE220" s="105"/>
    </row>
    <row r="221" spans="1:31" x14ac:dyDescent="0.25">
      <c r="A221" s="17"/>
      <c r="B221" s="99"/>
      <c r="C221" s="100"/>
      <c r="D221" s="100"/>
      <c r="E221" s="101"/>
      <c r="F221" s="100"/>
      <c r="G221" s="100"/>
      <c r="H221" s="99"/>
      <c r="I221" s="101"/>
      <c r="L221" s="17"/>
      <c r="M221" s="99"/>
      <c r="N221" s="100"/>
      <c r="O221" s="100"/>
      <c r="P221" s="101"/>
      <c r="Q221" s="100"/>
      <c r="R221" s="100"/>
      <c r="S221" s="99"/>
      <c r="T221" s="101"/>
      <c r="W221" s="17"/>
      <c r="X221" s="99"/>
      <c r="Y221" s="100"/>
      <c r="Z221" s="100"/>
      <c r="AA221" s="101"/>
      <c r="AB221" s="100"/>
      <c r="AC221" s="100"/>
      <c r="AD221" s="99"/>
      <c r="AE221" s="101"/>
    </row>
    <row r="222" spans="1:31" x14ac:dyDescent="0.25">
      <c r="A222" s="19"/>
      <c r="B222" s="102"/>
      <c r="C222" s="102"/>
      <c r="D222" s="102"/>
      <c r="E222" s="103"/>
      <c r="F222" s="102"/>
      <c r="G222" s="103"/>
      <c r="H222" s="102"/>
      <c r="I222" s="103"/>
      <c r="L222" s="19"/>
      <c r="M222" s="102"/>
      <c r="N222" s="102"/>
      <c r="O222" s="102"/>
      <c r="P222" s="103"/>
      <c r="Q222" s="102"/>
      <c r="R222" s="103"/>
      <c r="S222" s="102"/>
      <c r="T222" s="103"/>
      <c r="W222" s="19"/>
      <c r="X222" s="102"/>
      <c r="Y222" s="102"/>
      <c r="Z222" s="102"/>
      <c r="AA222" s="103"/>
      <c r="AB222" s="102"/>
      <c r="AC222" s="103"/>
      <c r="AD222" s="102"/>
      <c r="AE222" s="103"/>
    </row>
    <row r="223" spans="1:31" x14ac:dyDescent="0.25">
      <c r="A223" s="19"/>
      <c r="B223" s="102"/>
      <c r="C223" s="102"/>
      <c r="D223" s="102"/>
      <c r="E223" s="103"/>
      <c r="F223" s="102"/>
      <c r="G223" s="103"/>
      <c r="H223" s="102"/>
      <c r="I223" s="103"/>
      <c r="L223" s="19"/>
      <c r="M223" s="102"/>
      <c r="N223" s="102"/>
      <c r="O223" s="102"/>
      <c r="P223" s="103"/>
      <c r="Q223" s="102"/>
      <c r="R223" s="103"/>
      <c r="S223" s="102"/>
      <c r="T223" s="103"/>
      <c r="W223" s="19"/>
      <c r="X223" s="102"/>
      <c r="Y223" s="102"/>
      <c r="Z223" s="102"/>
      <c r="AA223" s="103"/>
      <c r="AB223" s="102"/>
      <c r="AC223" s="103"/>
      <c r="AD223" s="102"/>
      <c r="AE223" s="103"/>
    </row>
    <row r="224" spans="1:31" x14ac:dyDescent="0.25">
      <c r="A224" s="19"/>
      <c r="B224" s="102"/>
      <c r="C224" s="102"/>
      <c r="D224" s="102"/>
      <c r="E224" s="103"/>
      <c r="F224" s="102"/>
      <c r="G224" s="103"/>
      <c r="H224" s="102"/>
      <c r="I224" s="103"/>
      <c r="L224" s="19"/>
      <c r="M224" s="102"/>
      <c r="N224" s="102"/>
      <c r="O224" s="102"/>
      <c r="P224" s="103"/>
      <c r="Q224" s="102"/>
      <c r="R224" s="103"/>
      <c r="S224" s="102"/>
      <c r="T224" s="103"/>
      <c r="W224" s="19"/>
      <c r="X224" s="102"/>
      <c r="Y224" s="102"/>
      <c r="Z224" s="102"/>
      <c r="AA224" s="103"/>
      <c r="AB224" s="102"/>
      <c r="AC224" s="103"/>
      <c r="AD224" s="102"/>
      <c r="AE224" s="103"/>
    </row>
    <row r="225" spans="1:31" x14ac:dyDescent="0.25">
      <c r="A225" s="19"/>
      <c r="B225" s="102"/>
      <c r="C225" s="102"/>
      <c r="D225" s="102"/>
      <c r="E225" s="103"/>
      <c r="F225" s="102"/>
      <c r="G225" s="103"/>
      <c r="H225" s="102"/>
      <c r="I225" s="103"/>
      <c r="L225" s="19"/>
      <c r="M225" s="102"/>
      <c r="N225" s="102"/>
      <c r="O225" s="102"/>
      <c r="P225" s="103"/>
      <c r="Q225" s="102"/>
      <c r="R225" s="103"/>
      <c r="S225" s="102"/>
      <c r="T225" s="103"/>
      <c r="W225" s="19"/>
      <c r="X225" s="102"/>
      <c r="Y225" s="102"/>
      <c r="Z225" s="102"/>
      <c r="AA225" s="103"/>
      <c r="AB225" s="102"/>
      <c r="AC225" s="103"/>
      <c r="AD225" s="102"/>
      <c r="AE225" s="103"/>
    </row>
    <row r="226" spans="1:31" x14ac:dyDescent="0.25">
      <c r="A226" s="19"/>
      <c r="B226" s="102"/>
      <c r="C226" s="102"/>
      <c r="D226" s="102"/>
      <c r="E226" s="103"/>
      <c r="F226" s="102"/>
      <c r="G226" s="103"/>
      <c r="H226" s="102"/>
      <c r="I226" s="147"/>
      <c r="L226" s="19"/>
      <c r="M226" s="102"/>
      <c r="N226" s="102"/>
      <c r="O226" s="102"/>
      <c r="P226" s="103"/>
      <c r="Q226" s="102"/>
      <c r="R226" s="103"/>
      <c r="S226" s="102"/>
      <c r="T226" s="147"/>
      <c r="W226" s="19"/>
      <c r="X226" s="102"/>
      <c r="Y226" s="102"/>
      <c r="Z226" s="102"/>
      <c r="AA226" s="103"/>
      <c r="AB226" s="102"/>
      <c r="AC226" s="103"/>
      <c r="AD226" s="102"/>
      <c r="AE226" s="147"/>
    </row>
    <row r="227" spans="1:31" x14ac:dyDescent="0.25">
      <c r="A227" s="129"/>
      <c r="B227" s="129"/>
      <c r="C227" s="129"/>
      <c r="D227" s="129"/>
      <c r="E227" s="129"/>
      <c r="F227" s="129"/>
      <c r="G227" s="129"/>
      <c r="H227" s="129"/>
      <c r="I227" s="129"/>
      <c r="L227" s="129"/>
      <c r="M227" s="129"/>
      <c r="N227" s="129"/>
      <c r="O227" s="129"/>
      <c r="P227" s="129"/>
      <c r="Q227" s="129"/>
      <c r="R227" s="129"/>
      <c r="S227" s="129"/>
      <c r="T227" s="129"/>
      <c r="W227" s="129"/>
      <c r="X227" s="129"/>
      <c r="Y227" s="129"/>
      <c r="Z227" s="129"/>
      <c r="AA227" s="129"/>
      <c r="AB227" s="129"/>
      <c r="AC227" s="129"/>
      <c r="AD227" s="129"/>
      <c r="AE227" s="129"/>
    </row>
    <row r="228" spans="1:31" x14ac:dyDescent="0.25">
      <c r="A228" s="130" t="s">
        <v>85</v>
      </c>
      <c r="B228" s="131"/>
      <c r="C228" s="136" t="s">
        <v>86</v>
      </c>
      <c r="D228" s="137"/>
      <c r="E228" s="56" t="s">
        <v>164</v>
      </c>
      <c r="F228" s="145">
        <f>IF(ISBLANK(F204),"",IF(ISERROR(VLOOKUP(F204,PAPELERIA_PAPEL_Y_LÁPIZ,13,FALSE)),"El dato no existe",VLOOKUP(F204,PAPELERIA_PAPEL_Y_LÁPIZ,13,FALSE)))</f>
        <v>65475</v>
      </c>
      <c r="G228" s="145"/>
      <c r="H228" s="145"/>
      <c r="I228" s="146"/>
      <c r="L228" s="130" t="s">
        <v>85</v>
      </c>
      <c r="M228" s="131"/>
      <c r="N228" s="136" t="s">
        <v>86</v>
      </c>
      <c r="O228" s="137"/>
      <c r="P228" s="56" t="s">
        <v>164</v>
      </c>
      <c r="Q228" s="145">
        <f>IF(ISBLANK(Q204),"",IF(ISERROR(VLOOKUP(Q204,PAPELERIA_PAPEL_Y_LÁPIZ,13,FALSE)),"El dato no existe",VLOOKUP(Q204,PAPELERIA_PAPEL_Y_LÁPIZ,13,FALSE)))</f>
        <v>86328.4</v>
      </c>
      <c r="R228" s="145"/>
      <c r="S228" s="145"/>
      <c r="T228" s="146"/>
      <c r="W228" s="130" t="s">
        <v>85</v>
      </c>
      <c r="X228" s="131"/>
      <c r="Y228" s="136" t="s">
        <v>86</v>
      </c>
      <c r="Z228" s="137"/>
      <c r="AA228" s="56" t="s">
        <v>164</v>
      </c>
      <c r="AB228" s="145">
        <f>IF(ISBLANK(AB204),"",IF(ISERROR(VLOOKUP(AB204,PAPELERIA_PAPEL_Y_LÁPIZ,13,FALSE)),"El dato no existe",VLOOKUP(AB204,PAPELERIA_PAPEL_Y_LÁPIZ,13,FALSE)))</f>
        <v>21010</v>
      </c>
      <c r="AC228" s="145"/>
      <c r="AD228" s="145"/>
      <c r="AE228" s="146"/>
    </row>
    <row r="229" spans="1:31" x14ac:dyDescent="0.25">
      <c r="A229" s="132"/>
      <c r="B229" s="133"/>
      <c r="C229" s="138"/>
      <c r="D229" s="139"/>
      <c r="E229" s="140"/>
      <c r="F229" s="141"/>
      <c r="G229" s="141"/>
      <c r="H229" s="141"/>
      <c r="I229" s="142"/>
      <c r="L229" s="132"/>
      <c r="M229" s="133"/>
      <c r="N229" s="138"/>
      <c r="O229" s="139"/>
      <c r="P229" s="140"/>
      <c r="Q229" s="141"/>
      <c r="R229" s="141"/>
      <c r="S229" s="141"/>
      <c r="T229" s="142"/>
      <c r="W229" s="132"/>
      <c r="X229" s="133"/>
      <c r="Y229" s="138"/>
      <c r="Z229" s="139"/>
      <c r="AA229" s="140"/>
      <c r="AB229" s="141"/>
      <c r="AC229" s="141"/>
      <c r="AD229" s="141"/>
      <c r="AE229" s="142"/>
    </row>
    <row r="230" spans="1:31" x14ac:dyDescent="0.25">
      <c r="A230" s="134"/>
      <c r="B230" s="135"/>
      <c r="C230" s="143" t="s">
        <v>87</v>
      </c>
      <c r="D230" s="144"/>
      <c r="E230" s="56"/>
      <c r="F230" s="145">
        <f>IF(ISBLANK(F204),"",IF(ISERROR(VLOOKUP(F204,PAPELERIA_PAPEL_Y_LÁPIZ,16,FALSE)),"El dato no existe",VLOOKUP(F204,PAPELERIA_PAPEL_Y_LÁPIZ,16,FALSE)))</f>
        <v>63183.375</v>
      </c>
      <c r="G230" s="145"/>
      <c r="H230" s="145"/>
      <c r="I230" s="146"/>
      <c r="L230" s="134"/>
      <c r="M230" s="135"/>
      <c r="N230" s="143" t="s">
        <v>87</v>
      </c>
      <c r="O230" s="144"/>
      <c r="P230" s="56"/>
      <c r="Q230" s="145">
        <f>IF(ISBLANK(Q204),"",IF(ISERROR(VLOOKUP(Q204,PAPELERIA_PAPEL_Y_LÁPIZ,16,FALSE)),"El dato no existe",VLOOKUP(Q204,PAPELERIA_PAPEL_Y_LÁPIZ,16,FALSE)))</f>
        <v>83306.905999999988</v>
      </c>
      <c r="R230" s="145"/>
      <c r="S230" s="145"/>
      <c r="T230" s="146"/>
      <c r="W230" s="134"/>
      <c r="X230" s="135"/>
      <c r="Y230" s="143" t="s">
        <v>87</v>
      </c>
      <c r="Z230" s="144"/>
      <c r="AA230" s="56"/>
      <c r="AB230" s="145">
        <f>IF(ISBLANK(AB204),"",IF(ISERROR(VLOOKUP(AB204,PAPELERIA_PAPEL_Y_LÁPIZ,16,FALSE)),"El dato no existe",VLOOKUP(AB204,PAPELERIA_PAPEL_Y_LÁPIZ,16,FALSE)))</f>
        <v>20274.650000000001</v>
      </c>
      <c r="AC230" s="145"/>
      <c r="AD230" s="145"/>
      <c r="AE230" s="146"/>
    </row>
    <row r="233" spans="1:31" x14ac:dyDescent="0.25">
      <c r="A233" s="110" t="s">
        <v>96</v>
      </c>
      <c r="B233" s="111"/>
      <c r="C233" s="111"/>
      <c r="D233" s="112"/>
      <c r="E233" s="116" t="s">
        <v>78</v>
      </c>
      <c r="F233" s="118">
        <v>709</v>
      </c>
      <c r="G233" s="118"/>
      <c r="H233" s="118"/>
      <c r="I233" s="118"/>
      <c r="L233" s="110" t="s">
        <v>96</v>
      </c>
      <c r="M233" s="111"/>
      <c r="N233" s="111"/>
      <c r="O233" s="112"/>
      <c r="P233" s="116" t="s">
        <v>78</v>
      </c>
      <c r="Q233" s="118">
        <v>719</v>
      </c>
      <c r="R233" s="118"/>
      <c r="S233" s="118"/>
      <c r="T233" s="118"/>
      <c r="W233" s="110" t="s">
        <v>96</v>
      </c>
      <c r="X233" s="111"/>
      <c r="Y233" s="111"/>
      <c r="Z233" s="112"/>
      <c r="AA233" s="116" t="s">
        <v>78</v>
      </c>
      <c r="AB233" s="118">
        <v>729</v>
      </c>
      <c r="AC233" s="118"/>
      <c r="AD233" s="118"/>
      <c r="AE233" s="118"/>
    </row>
    <row r="234" spans="1:31" x14ac:dyDescent="0.25">
      <c r="A234" s="113"/>
      <c r="B234" s="114"/>
      <c r="C234" s="114"/>
      <c r="D234" s="115"/>
      <c r="E234" s="117"/>
      <c r="F234" s="118"/>
      <c r="G234" s="118"/>
      <c r="H234" s="118"/>
      <c r="I234" s="118"/>
      <c r="L234" s="113"/>
      <c r="M234" s="114"/>
      <c r="N234" s="114"/>
      <c r="O234" s="115"/>
      <c r="P234" s="117"/>
      <c r="Q234" s="118"/>
      <c r="R234" s="118"/>
      <c r="S234" s="118"/>
      <c r="T234" s="118"/>
      <c r="W234" s="113"/>
      <c r="X234" s="114"/>
      <c r="Y234" s="114"/>
      <c r="Z234" s="115"/>
      <c r="AA234" s="117"/>
      <c r="AB234" s="118"/>
      <c r="AC234" s="118"/>
      <c r="AD234" s="118"/>
      <c r="AE234" s="118"/>
    </row>
    <row r="235" spans="1:31" x14ac:dyDescent="0.25">
      <c r="A235" s="119" t="s">
        <v>3</v>
      </c>
      <c r="B235" s="121" t="str">
        <f>IF(ISBLANK(F233),"",IF(ISERROR(VLOOKUP(F233,PAPELERIA_PAPEL_Y_LÁPIZ,3,FALSE)),"El dato no existe",VLOOKUP(F233,PAPELERIA_PAPEL_Y_LÁPIZ,3,FALSE)))</f>
        <v>UNIVERSIDAD ECCI</v>
      </c>
      <c r="C235" s="121"/>
      <c r="D235" s="121"/>
      <c r="E235" s="122"/>
      <c r="F235" s="125" t="s">
        <v>79</v>
      </c>
      <c r="G235" s="125"/>
      <c r="H235" s="125"/>
      <c r="I235" s="126"/>
      <c r="L235" s="119" t="s">
        <v>3</v>
      </c>
      <c r="M235" s="121" t="str">
        <f>IF(ISBLANK(Q233),"",IF(ISERROR(VLOOKUP(Q233,PAPELERIA_PAPEL_Y_LÁPIZ,3,FALSE)),"El dato no existe",VLOOKUP(Q233,PAPELERIA_PAPEL_Y_LÁPIZ,3,FALSE)))</f>
        <v>UNIVERSIDAD DE ANTIOQUIA</v>
      </c>
      <c r="N235" s="121"/>
      <c r="O235" s="121"/>
      <c r="P235" s="122"/>
      <c r="Q235" s="125" t="s">
        <v>79</v>
      </c>
      <c r="R235" s="125"/>
      <c r="S235" s="125"/>
      <c r="T235" s="126"/>
      <c r="W235" s="119" t="s">
        <v>3</v>
      </c>
      <c r="X235" s="121" t="str">
        <f>IF(ISBLANK(AB233),"",IF(ISERROR(VLOOKUP(AB233,PAPELERIA_PAPEL_Y_LÁPIZ,3,FALSE)),"El dato no existe",VLOOKUP(AB233,PAPELERIA_PAPEL_Y_LÁPIZ,3,FALSE)))</f>
        <v>UNIVERSIDAD DE PAMPLONA</v>
      </c>
      <c r="Y235" s="121"/>
      <c r="Z235" s="121"/>
      <c r="AA235" s="122"/>
      <c r="AB235" s="125" t="s">
        <v>79</v>
      </c>
      <c r="AC235" s="125"/>
      <c r="AD235" s="125"/>
      <c r="AE235" s="126"/>
    </row>
    <row r="236" spans="1:31" x14ac:dyDescent="0.25">
      <c r="A236" s="120"/>
      <c r="B236" s="123"/>
      <c r="C236" s="123"/>
      <c r="D236" s="123"/>
      <c r="E236" s="124"/>
      <c r="F236" s="127">
        <v>26</v>
      </c>
      <c r="G236" s="128"/>
      <c r="H236" s="30">
        <v>11</v>
      </c>
      <c r="I236" s="28">
        <v>2018</v>
      </c>
      <c r="L236" s="120"/>
      <c r="M236" s="123"/>
      <c r="N236" s="123"/>
      <c r="O236" s="123"/>
      <c r="P236" s="124"/>
      <c r="Q236" s="127">
        <v>26</v>
      </c>
      <c r="R236" s="128"/>
      <c r="S236" s="30">
        <v>11</v>
      </c>
      <c r="T236" s="28">
        <v>2018</v>
      </c>
      <c r="W236" s="120"/>
      <c r="X236" s="123"/>
      <c r="Y236" s="123"/>
      <c r="Z236" s="123"/>
      <c r="AA236" s="124"/>
      <c r="AB236" s="127">
        <v>26</v>
      </c>
      <c r="AC236" s="128"/>
      <c r="AD236" s="30">
        <v>11</v>
      </c>
      <c r="AE236" s="28">
        <v>2018</v>
      </c>
    </row>
    <row r="237" spans="1:31" x14ac:dyDescent="0.25">
      <c r="A237" s="29" t="s">
        <v>95</v>
      </c>
      <c r="B237" s="94" t="str">
        <f>IF(ISBLANK(F233),"",IF(ISERROR(VLOOKUP(F233,PAPELERIA_PAPEL_Y_LÁPIZ,2,FALSE)),"El dato no existe",VLOOKUP(F233,PAPELERIA_PAPEL_Y_LÁPIZ,2,FALSE)))</f>
        <v>8605008517-8</v>
      </c>
      <c r="C237" s="95"/>
      <c r="D237" s="29" t="s">
        <v>94</v>
      </c>
      <c r="E237" s="93" t="str">
        <f>IF(ISBLANK(F233),"",IF(ISERROR(VLOOKUP(F233,PAPELERIA_PAPEL_Y_LÁPIZ,5,FALSE)),"El dato no existe",VLOOKUP(F233,PAPELERIA_PAPEL_Y_LÁPIZ,5,FALSE)))</f>
        <v>Calle 41 N° 27A-56</v>
      </c>
      <c r="F237" s="93"/>
      <c r="G237" s="93"/>
      <c r="H237" s="93"/>
      <c r="I237" s="93"/>
      <c r="L237" s="29" t="s">
        <v>95</v>
      </c>
      <c r="M237" s="94" t="str">
        <f>IF(ISBLANK(Q233),"",IF(ISERROR(VLOOKUP(Q233,PAPELERIA_PAPEL_Y_LÁPIZ,2,FALSE)),"El dato no existe",VLOOKUP(Q233,PAPELERIA_PAPEL_Y_LÁPIZ,2,FALSE)))</f>
        <v>890310903-5</v>
      </c>
      <c r="N237" s="95"/>
      <c r="O237" s="29" t="s">
        <v>94</v>
      </c>
      <c r="P237" s="93" t="str">
        <f>IF(ISBLANK(Q233),"",IF(ISERROR(VLOOKUP(Q233,PAPELERIA_PAPEL_Y_LÁPIZ,5,FALSE)),"El dato no existe",VLOOKUP(Q233,PAPELERIA_PAPEL_Y_LÁPIZ,5,FALSE)))</f>
        <v>Calle 5 N° 3-85</v>
      </c>
      <c r="Q237" s="93"/>
      <c r="R237" s="93"/>
      <c r="S237" s="93"/>
      <c r="T237" s="93"/>
      <c r="W237" s="29" t="s">
        <v>95</v>
      </c>
      <c r="X237" s="94" t="str">
        <f>IF(ISBLANK(AB233),"",IF(ISERROR(VLOOKUP(AB233,PAPELERIA_PAPEL_Y_LÁPIZ,2,FALSE)),"El dato no existe",VLOOKUP(AB233,PAPELERIA_PAPEL_Y_LÁPIZ,2,FALSE)))</f>
        <v>811005425-1</v>
      </c>
      <c r="Y237" s="95"/>
      <c r="Z237" s="29" t="s">
        <v>94</v>
      </c>
      <c r="AA237" s="93" t="str">
        <f>IF(ISBLANK(AB233),"",IF(ISERROR(VLOOKUP(AB233,PAPELERIA_PAPEL_Y_LÁPIZ,5,FALSE)),"El dato no existe",VLOOKUP(AB233,PAPELERIA_PAPEL_Y_LÁPIZ,5,FALSE)))</f>
        <v>Carrera 19 N° 49-20</v>
      </c>
      <c r="AB237" s="93"/>
      <c r="AC237" s="93"/>
      <c r="AD237" s="93"/>
      <c r="AE237" s="93"/>
    </row>
    <row r="238" spans="1:31" x14ac:dyDescent="0.25">
      <c r="A238" s="31" t="s">
        <v>80</v>
      </c>
      <c r="B238" s="94">
        <f>IF(ISBLANK(F233),"",IF(ISERROR(VLOOKUP(F233,PAPELERIA_PAPEL_Y_LÁPIZ,4,FALSE)),"El dato no existe",VLOOKUP(F233,PAPELERIA_PAPEL_Y_LÁPIZ,4,FALSE)))</f>
        <v>3689618</v>
      </c>
      <c r="C238" s="95"/>
      <c r="D238" s="91" t="s">
        <v>91</v>
      </c>
      <c r="E238" s="92"/>
      <c r="F238" s="96" t="str">
        <f>IF(ISBLANK(F233),"",IF(ISERROR(VLOOKUP(F233,PAPELERIA_PAPEL_Y_LÁPIZ,17,FALSE)),"El dato no existe",VLOOKUP(F233,PAPELERIA_PAPEL_Y_LÁPIZ,17,FALSE)))</f>
        <v>CRÉDITO</v>
      </c>
      <c r="G238" s="97"/>
      <c r="H238" s="97"/>
      <c r="I238" s="98"/>
      <c r="L238" s="31" t="s">
        <v>80</v>
      </c>
      <c r="M238" s="94">
        <f>IF(ISBLANK(Q233),"",IF(ISERROR(VLOOKUP(Q233,PAPELERIA_PAPEL_Y_LÁPIZ,4,FALSE)),"El dato no existe",VLOOKUP(Q233,PAPELERIA_PAPEL_Y_LÁPIZ,4,FALSE)))</f>
        <v>8213000</v>
      </c>
      <c r="N238" s="95"/>
      <c r="O238" s="91" t="s">
        <v>91</v>
      </c>
      <c r="P238" s="92"/>
      <c r="Q238" s="96" t="str">
        <f>IF(ISBLANK(Q233),"",IF(ISERROR(VLOOKUP(Q233,PAPELERIA_PAPEL_Y_LÁPIZ,17,FALSE)),"El dato no existe",VLOOKUP(Q233,PAPELERIA_PAPEL_Y_LÁPIZ,17,FALSE)))</f>
        <v>CRÉDITO</v>
      </c>
      <c r="R238" s="97"/>
      <c r="S238" s="97"/>
      <c r="T238" s="98"/>
      <c r="W238" s="31" t="s">
        <v>80</v>
      </c>
      <c r="X238" s="94">
        <f>IF(ISBLANK(AB233),"",IF(ISERROR(VLOOKUP(AB233,PAPELERIA_PAPEL_Y_LÁPIZ,4,FALSE)),"El dato no existe",VLOOKUP(AB233,PAPELERIA_PAPEL_Y_LÁPIZ,4,FALSE)))</f>
        <v>2320606</v>
      </c>
      <c r="Y238" s="95"/>
      <c r="Z238" s="91" t="s">
        <v>91</v>
      </c>
      <c r="AA238" s="92"/>
      <c r="AB238" s="96" t="str">
        <f>IF(ISBLANK(AB233),"",IF(ISERROR(VLOOKUP(AB233,PAPELERIA_PAPEL_Y_LÁPIZ,17,FALSE)),"El dato no existe",VLOOKUP(AB233,PAPELERIA_PAPEL_Y_LÁPIZ,17,FALSE)))</f>
        <v>CONTADO</v>
      </c>
      <c r="AC238" s="97"/>
      <c r="AD238" s="97"/>
      <c r="AE238" s="98"/>
    </row>
    <row r="239" spans="1:31" x14ac:dyDescent="0.25">
      <c r="A239" s="16" t="s">
        <v>81</v>
      </c>
      <c r="B239" s="86" t="s">
        <v>82</v>
      </c>
      <c r="C239" s="87"/>
      <c r="D239" s="87"/>
      <c r="E239" s="88"/>
      <c r="F239" s="89" t="s">
        <v>83</v>
      </c>
      <c r="G239" s="90"/>
      <c r="H239" s="86" t="s">
        <v>84</v>
      </c>
      <c r="I239" s="88"/>
      <c r="L239" s="16" t="s">
        <v>81</v>
      </c>
      <c r="M239" s="86" t="s">
        <v>82</v>
      </c>
      <c r="N239" s="87"/>
      <c r="O239" s="87"/>
      <c r="P239" s="88"/>
      <c r="Q239" s="89" t="s">
        <v>83</v>
      </c>
      <c r="R239" s="90"/>
      <c r="S239" s="86" t="s">
        <v>84</v>
      </c>
      <c r="T239" s="88"/>
      <c r="W239" s="16" t="s">
        <v>81</v>
      </c>
      <c r="X239" s="86" t="s">
        <v>82</v>
      </c>
      <c r="Y239" s="87"/>
      <c r="Z239" s="87"/>
      <c r="AA239" s="88"/>
      <c r="AB239" s="89" t="s">
        <v>83</v>
      </c>
      <c r="AC239" s="90"/>
      <c r="AD239" s="86" t="s">
        <v>84</v>
      </c>
      <c r="AE239" s="88"/>
    </row>
    <row r="240" spans="1:31" x14ac:dyDescent="0.25">
      <c r="A240" s="17">
        <f>IF(ISBLANK(F233),"",IF(ISERROR(VLOOKUP(F233,PAPELERIA_PAPEL_Y_LÁPIZ,8,FALSE)),"El dato no existe",VLOOKUP(F233,PAPELERIA_PAPEL_Y_LÁPIZ,8,FALSE)))</f>
        <v>28</v>
      </c>
      <c r="B240" s="99" t="str">
        <f>IF(ISBLANK(F233),"",IF(ISERROR(VLOOKUP(F233,PAPELERIA_PAPEL_Y_LÁPIZ,7,FALSE)),"El dato no existe",VLOOKUP(F233,PAPELERIA_PAPEL_Y_LÁPIZ,7,FALSE)))</f>
        <v>CAJA DE COLORES NORMA</v>
      </c>
      <c r="C240" s="100"/>
      <c r="D240" s="100"/>
      <c r="E240" s="101"/>
      <c r="F240" s="106">
        <f>IF(ISBLANK(F233),"",IF(ISERROR(VLOOKUP(F233,PAPELERIA_PAPEL_Y_LÁPIZ,10,FALSE)),"El dato no existe",VLOOKUP(F233,PAPELERIA_PAPEL_Y_LÁPIZ,10,FALSE)))</f>
        <v>9500</v>
      </c>
      <c r="G240" s="107"/>
      <c r="H240" s="108">
        <f>IF(ISBLANK(F233),"",IF(ISERROR(VLOOKUP(F233,PAPELERIA_PAPEL_Y_LÁPIZ,11,FALSE)),"El dato no existe",VLOOKUP(F233,PAPELERIA_PAPEL_Y_LÁPIZ,11,FALSE)))</f>
        <v>266000</v>
      </c>
      <c r="I240" s="109"/>
      <c r="L240" s="17">
        <f>IF(ISBLANK(Q233),"",IF(ISERROR(VLOOKUP(Q233,PAPELERIA_PAPEL_Y_LÁPIZ,8,FALSE)),"El dato no existe",VLOOKUP(Q233,PAPELERIA_PAPEL_Y_LÁPIZ,8,FALSE)))</f>
        <v>30</v>
      </c>
      <c r="M240" s="99" t="str">
        <f>IF(ISBLANK(Q233),"",IF(ISERROR(VLOOKUP(Q233,PAPELERIA_PAPEL_Y_LÁPIZ,7,FALSE)),"El dato no existe",VLOOKUP(Q233,PAPELERIA_PAPEL_Y_LÁPIZ,7,FALSE)))</f>
        <v>BLOCK TAMAÑO CARTA</v>
      </c>
      <c r="N240" s="100"/>
      <c r="O240" s="100"/>
      <c r="P240" s="101"/>
      <c r="Q240" s="106">
        <f>IF(ISBLANK(Q233),"",IF(ISERROR(VLOOKUP(Q233,PAPELERIA_PAPEL_Y_LÁPIZ,10,FALSE)),"El dato no existe",VLOOKUP(Q233,PAPELERIA_PAPEL_Y_LÁPIZ,10,FALSE)))</f>
        <v>2400</v>
      </c>
      <c r="R240" s="107"/>
      <c r="S240" s="108">
        <f>IF(ISBLANK(Q233),"",IF(ISERROR(VLOOKUP(Q233,PAPELERIA_PAPEL_Y_LÁPIZ,11,FALSE)),"El dato no existe",VLOOKUP(Q233,PAPELERIA_PAPEL_Y_LÁPIZ,11,FALSE)))</f>
        <v>72000</v>
      </c>
      <c r="T240" s="109"/>
      <c r="W240" s="17">
        <f>IF(ISBLANK(AB233),"",IF(ISERROR(VLOOKUP(AB233,PAPELERIA_PAPEL_Y_LÁPIZ,8,FALSE)),"El dato no existe",VLOOKUP(AB233,PAPELERIA_PAPEL_Y_LÁPIZ,8,FALSE)))</f>
        <v>20</v>
      </c>
      <c r="X240" s="99" t="str">
        <f>IF(ISBLANK(AB233),"",IF(ISERROR(VLOOKUP(AB233,PAPELERIA_PAPEL_Y_LÁPIZ,7,FALSE)),"El dato no existe",VLOOKUP(AB233,PAPELERIA_PAPEL_Y_LÁPIZ,7,FALSE)))</f>
        <v>GRAPADORA MEDIANA</v>
      </c>
      <c r="Y240" s="100"/>
      <c r="Z240" s="100"/>
      <c r="AA240" s="101"/>
      <c r="AB240" s="106">
        <f>IF(ISBLANK(AB233),"",IF(ISERROR(VLOOKUP(AB233,PAPELERIA_PAPEL_Y_LÁPIZ,10,FALSE)),"El dato no existe",VLOOKUP(AB233,PAPELERIA_PAPEL_Y_LÁPIZ,10,FALSE)))</f>
        <v>4708</v>
      </c>
      <c r="AC240" s="107"/>
      <c r="AD240" s="108">
        <f>IF(ISBLANK(AB233),"",IF(ISERROR(VLOOKUP(AB233,PAPELERIA_PAPEL_Y_LÁPIZ,11,FALSE)),"El dato no existe",VLOOKUP(AB233,PAPELERIA_PAPEL_Y_LÁPIZ,11,FALSE)))</f>
        <v>94160</v>
      </c>
      <c r="AE240" s="109"/>
    </row>
    <row r="241" spans="1:31" x14ac:dyDescent="0.25">
      <c r="A241" s="18"/>
      <c r="B241" s="104"/>
      <c r="C241" s="104"/>
      <c r="D241" s="104"/>
      <c r="E241" s="105"/>
      <c r="F241" s="104"/>
      <c r="G241" s="105"/>
      <c r="H241" s="104"/>
      <c r="I241" s="105"/>
      <c r="L241" s="18"/>
      <c r="M241" s="104"/>
      <c r="N241" s="104"/>
      <c r="O241" s="104"/>
      <c r="P241" s="105"/>
      <c r="Q241" s="104"/>
      <c r="R241" s="105"/>
      <c r="S241" s="104"/>
      <c r="T241" s="105"/>
      <c r="W241" s="18"/>
      <c r="X241" s="104"/>
      <c r="Y241" s="104"/>
      <c r="Z241" s="104"/>
      <c r="AA241" s="105"/>
      <c r="AB241" s="104"/>
      <c r="AC241" s="105"/>
      <c r="AD241" s="104"/>
      <c r="AE241" s="105"/>
    </row>
    <row r="242" spans="1:31" x14ac:dyDescent="0.25">
      <c r="A242" s="17"/>
      <c r="B242" s="99"/>
      <c r="C242" s="100"/>
      <c r="D242" s="100"/>
      <c r="E242" s="101"/>
      <c r="F242" s="100"/>
      <c r="G242" s="100"/>
      <c r="H242" s="99"/>
      <c r="I242" s="101"/>
      <c r="L242" s="17"/>
      <c r="M242" s="99"/>
      <c r="N242" s="100"/>
      <c r="O242" s="100"/>
      <c r="P242" s="101"/>
      <c r="Q242" s="100"/>
      <c r="R242" s="100"/>
      <c r="S242" s="99"/>
      <c r="T242" s="101"/>
      <c r="W242" s="17"/>
      <c r="X242" s="99"/>
      <c r="Y242" s="100"/>
      <c r="Z242" s="100"/>
      <c r="AA242" s="101"/>
      <c r="AB242" s="100"/>
      <c r="AC242" s="100"/>
      <c r="AD242" s="99"/>
      <c r="AE242" s="101"/>
    </row>
    <row r="243" spans="1:31" x14ac:dyDescent="0.25">
      <c r="A243" s="18"/>
      <c r="B243" s="104"/>
      <c r="C243" s="104"/>
      <c r="D243" s="104"/>
      <c r="E243" s="105"/>
      <c r="F243" s="104"/>
      <c r="G243" s="105"/>
      <c r="H243" s="104"/>
      <c r="I243" s="105"/>
      <c r="L243" s="18"/>
      <c r="M243" s="104"/>
      <c r="N243" s="104"/>
      <c r="O243" s="104"/>
      <c r="P243" s="105"/>
      <c r="Q243" s="104"/>
      <c r="R243" s="105"/>
      <c r="S243" s="104"/>
      <c r="T243" s="105"/>
      <c r="W243" s="18"/>
      <c r="X243" s="104"/>
      <c r="Y243" s="104"/>
      <c r="Z243" s="104"/>
      <c r="AA243" s="105"/>
      <c r="AB243" s="104"/>
      <c r="AC243" s="105"/>
      <c r="AD243" s="104"/>
      <c r="AE243" s="105"/>
    </row>
    <row r="244" spans="1:31" x14ac:dyDescent="0.25">
      <c r="A244" s="17"/>
      <c r="B244" s="99"/>
      <c r="C244" s="100"/>
      <c r="D244" s="100"/>
      <c r="E244" s="101"/>
      <c r="F244" s="100"/>
      <c r="G244" s="100"/>
      <c r="H244" s="99"/>
      <c r="I244" s="101"/>
      <c r="L244" s="17"/>
      <c r="M244" s="99"/>
      <c r="N244" s="100"/>
      <c r="O244" s="100"/>
      <c r="P244" s="101"/>
      <c r="Q244" s="100"/>
      <c r="R244" s="100"/>
      <c r="S244" s="99"/>
      <c r="T244" s="101"/>
      <c r="W244" s="17"/>
      <c r="X244" s="99"/>
      <c r="Y244" s="100"/>
      <c r="Z244" s="100"/>
      <c r="AA244" s="101"/>
      <c r="AB244" s="100"/>
      <c r="AC244" s="100"/>
      <c r="AD244" s="99"/>
      <c r="AE244" s="101"/>
    </row>
    <row r="245" spans="1:31" x14ac:dyDescent="0.25">
      <c r="A245" s="19"/>
      <c r="B245" s="102"/>
      <c r="C245" s="102"/>
      <c r="D245" s="102"/>
      <c r="E245" s="103"/>
      <c r="F245" s="102"/>
      <c r="G245" s="103"/>
      <c r="H245" s="102"/>
      <c r="I245" s="103"/>
      <c r="L245" s="19"/>
      <c r="M245" s="102"/>
      <c r="N245" s="102"/>
      <c r="O245" s="102"/>
      <c r="P245" s="103"/>
      <c r="Q245" s="102"/>
      <c r="R245" s="103"/>
      <c r="S245" s="102"/>
      <c r="T245" s="103"/>
      <c r="W245" s="19"/>
      <c r="X245" s="102"/>
      <c r="Y245" s="102"/>
      <c r="Z245" s="102"/>
      <c r="AA245" s="103"/>
      <c r="AB245" s="102"/>
      <c r="AC245" s="103"/>
      <c r="AD245" s="102"/>
      <c r="AE245" s="103"/>
    </row>
    <row r="246" spans="1:31" x14ac:dyDescent="0.25">
      <c r="A246" s="17"/>
      <c r="B246" s="99"/>
      <c r="C246" s="100"/>
      <c r="D246" s="100"/>
      <c r="E246" s="101"/>
      <c r="F246" s="100"/>
      <c r="G246" s="100"/>
      <c r="H246" s="99"/>
      <c r="I246" s="101"/>
      <c r="L246" s="17"/>
      <c r="M246" s="99"/>
      <c r="N246" s="100"/>
      <c r="O246" s="100"/>
      <c r="P246" s="101"/>
      <c r="Q246" s="100"/>
      <c r="R246" s="100"/>
      <c r="S246" s="99"/>
      <c r="T246" s="101"/>
      <c r="W246" s="17"/>
      <c r="X246" s="99"/>
      <c r="Y246" s="100"/>
      <c r="Z246" s="100"/>
      <c r="AA246" s="101"/>
      <c r="AB246" s="100"/>
      <c r="AC246" s="100"/>
      <c r="AD246" s="99"/>
      <c r="AE246" s="101"/>
    </row>
    <row r="247" spans="1:31" x14ac:dyDescent="0.25">
      <c r="A247" s="19"/>
      <c r="B247" s="102"/>
      <c r="C247" s="102"/>
      <c r="D247" s="102"/>
      <c r="E247" s="103"/>
      <c r="F247" s="102"/>
      <c r="G247" s="103"/>
      <c r="H247" s="102"/>
      <c r="I247" s="103"/>
      <c r="L247" s="19"/>
      <c r="M247" s="102"/>
      <c r="N247" s="102"/>
      <c r="O247" s="102"/>
      <c r="P247" s="103"/>
      <c r="Q247" s="102"/>
      <c r="R247" s="103"/>
      <c r="S247" s="102"/>
      <c r="T247" s="103"/>
      <c r="W247" s="19"/>
      <c r="X247" s="102"/>
      <c r="Y247" s="102"/>
      <c r="Z247" s="102"/>
      <c r="AA247" s="103"/>
      <c r="AB247" s="102"/>
      <c r="AC247" s="103"/>
      <c r="AD247" s="102"/>
      <c r="AE247" s="103"/>
    </row>
    <row r="248" spans="1:31" x14ac:dyDescent="0.25">
      <c r="A248" s="19"/>
      <c r="B248" s="102"/>
      <c r="C248" s="102"/>
      <c r="D248" s="102"/>
      <c r="E248" s="103"/>
      <c r="F248" s="102"/>
      <c r="G248" s="103"/>
      <c r="H248" s="102"/>
      <c r="I248" s="103"/>
      <c r="L248" s="19"/>
      <c r="M248" s="102"/>
      <c r="N248" s="102"/>
      <c r="O248" s="102"/>
      <c r="P248" s="103"/>
      <c r="Q248" s="102"/>
      <c r="R248" s="103"/>
      <c r="S248" s="102"/>
      <c r="T248" s="103"/>
      <c r="W248" s="19"/>
      <c r="X248" s="102"/>
      <c r="Y248" s="102"/>
      <c r="Z248" s="102"/>
      <c r="AA248" s="103"/>
      <c r="AB248" s="102"/>
      <c r="AC248" s="103"/>
      <c r="AD248" s="102"/>
      <c r="AE248" s="103"/>
    </row>
    <row r="249" spans="1:31" x14ac:dyDescent="0.25">
      <c r="A249" s="18"/>
      <c r="B249" s="104"/>
      <c r="C249" s="104"/>
      <c r="D249" s="104"/>
      <c r="E249" s="105"/>
      <c r="F249" s="104"/>
      <c r="G249" s="105"/>
      <c r="H249" s="104"/>
      <c r="I249" s="105"/>
      <c r="L249" s="18"/>
      <c r="M249" s="104"/>
      <c r="N249" s="104"/>
      <c r="O249" s="104"/>
      <c r="P249" s="105"/>
      <c r="Q249" s="104"/>
      <c r="R249" s="105"/>
      <c r="S249" s="104"/>
      <c r="T249" s="105"/>
      <c r="W249" s="18"/>
      <c r="X249" s="104"/>
      <c r="Y249" s="104"/>
      <c r="Z249" s="104"/>
      <c r="AA249" s="105"/>
      <c r="AB249" s="104"/>
      <c r="AC249" s="105"/>
      <c r="AD249" s="104"/>
      <c r="AE249" s="105"/>
    </row>
    <row r="250" spans="1:31" x14ac:dyDescent="0.25">
      <c r="A250" s="17"/>
      <c r="B250" s="99"/>
      <c r="C250" s="100"/>
      <c r="D250" s="100"/>
      <c r="E250" s="101"/>
      <c r="F250" s="100"/>
      <c r="G250" s="100"/>
      <c r="H250" s="99"/>
      <c r="I250" s="101"/>
      <c r="L250" s="17"/>
      <c r="M250" s="99"/>
      <c r="N250" s="100"/>
      <c r="O250" s="100"/>
      <c r="P250" s="101"/>
      <c r="Q250" s="100"/>
      <c r="R250" s="100"/>
      <c r="S250" s="99"/>
      <c r="T250" s="101"/>
      <c r="W250" s="17"/>
      <c r="X250" s="99"/>
      <c r="Y250" s="100"/>
      <c r="Z250" s="100"/>
      <c r="AA250" s="101"/>
      <c r="AB250" s="100"/>
      <c r="AC250" s="100"/>
      <c r="AD250" s="99"/>
      <c r="AE250" s="101"/>
    </row>
    <row r="251" spans="1:31" x14ac:dyDescent="0.25">
      <c r="A251" s="19"/>
      <c r="B251" s="102"/>
      <c r="C251" s="102"/>
      <c r="D251" s="102"/>
      <c r="E251" s="103"/>
      <c r="F251" s="102"/>
      <c r="G251" s="103"/>
      <c r="H251" s="102"/>
      <c r="I251" s="103"/>
      <c r="L251" s="19"/>
      <c r="M251" s="102"/>
      <c r="N251" s="102"/>
      <c r="O251" s="102"/>
      <c r="P251" s="103"/>
      <c r="Q251" s="102"/>
      <c r="R251" s="103"/>
      <c r="S251" s="102"/>
      <c r="T251" s="103"/>
      <c r="W251" s="19"/>
      <c r="X251" s="102"/>
      <c r="Y251" s="102"/>
      <c r="Z251" s="102"/>
      <c r="AA251" s="103"/>
      <c r="AB251" s="102"/>
      <c r="AC251" s="103"/>
      <c r="AD251" s="102"/>
      <c r="AE251" s="103"/>
    </row>
    <row r="252" spans="1:31" x14ac:dyDescent="0.25">
      <c r="A252" s="19"/>
      <c r="B252" s="102"/>
      <c r="C252" s="102"/>
      <c r="D252" s="102"/>
      <c r="E252" s="103"/>
      <c r="F252" s="102"/>
      <c r="G252" s="103"/>
      <c r="H252" s="102"/>
      <c r="I252" s="103"/>
      <c r="L252" s="19"/>
      <c r="M252" s="102"/>
      <c r="N252" s="102"/>
      <c r="O252" s="102"/>
      <c r="P252" s="103"/>
      <c r="Q252" s="102"/>
      <c r="R252" s="103"/>
      <c r="S252" s="102"/>
      <c r="T252" s="103"/>
      <c r="W252" s="19"/>
      <c r="X252" s="102"/>
      <c r="Y252" s="102"/>
      <c r="Z252" s="102"/>
      <c r="AA252" s="103"/>
      <c r="AB252" s="102"/>
      <c r="AC252" s="103"/>
      <c r="AD252" s="102"/>
      <c r="AE252" s="103"/>
    </row>
    <row r="253" spans="1:31" x14ac:dyDescent="0.25">
      <c r="A253" s="19"/>
      <c r="B253" s="102"/>
      <c r="C253" s="102"/>
      <c r="D253" s="102"/>
      <c r="E253" s="103"/>
      <c r="F253" s="102"/>
      <c r="G253" s="103"/>
      <c r="H253" s="102"/>
      <c r="I253" s="103"/>
      <c r="L253" s="19"/>
      <c r="M253" s="102"/>
      <c r="N253" s="102"/>
      <c r="O253" s="102"/>
      <c r="P253" s="103"/>
      <c r="Q253" s="102"/>
      <c r="R253" s="103"/>
      <c r="S253" s="102"/>
      <c r="T253" s="103"/>
      <c r="W253" s="19"/>
      <c r="X253" s="102"/>
      <c r="Y253" s="102"/>
      <c r="Z253" s="102"/>
      <c r="AA253" s="103"/>
      <c r="AB253" s="102"/>
      <c r="AC253" s="103"/>
      <c r="AD253" s="102"/>
      <c r="AE253" s="103"/>
    </row>
    <row r="254" spans="1:31" x14ac:dyDescent="0.25">
      <c r="A254" s="19"/>
      <c r="B254" s="102"/>
      <c r="C254" s="102"/>
      <c r="D254" s="102"/>
      <c r="E254" s="103"/>
      <c r="F254" s="102"/>
      <c r="G254" s="103"/>
      <c r="H254" s="102"/>
      <c r="I254" s="103"/>
      <c r="L254" s="19"/>
      <c r="M254" s="102"/>
      <c r="N254" s="102"/>
      <c r="O254" s="102"/>
      <c r="P254" s="103"/>
      <c r="Q254" s="102"/>
      <c r="R254" s="103"/>
      <c r="S254" s="102"/>
      <c r="T254" s="103"/>
      <c r="W254" s="19"/>
      <c r="X254" s="102"/>
      <c r="Y254" s="102"/>
      <c r="Z254" s="102"/>
      <c r="AA254" s="103"/>
      <c r="AB254" s="102"/>
      <c r="AC254" s="103"/>
      <c r="AD254" s="102"/>
      <c r="AE254" s="103"/>
    </row>
    <row r="255" spans="1:31" x14ac:dyDescent="0.25">
      <c r="A255" s="19"/>
      <c r="B255" s="102"/>
      <c r="C255" s="102"/>
      <c r="D255" s="102"/>
      <c r="E255" s="103"/>
      <c r="F255" s="102"/>
      <c r="G255" s="103"/>
      <c r="H255" s="102"/>
      <c r="I255" s="147"/>
      <c r="L255" s="19"/>
      <c r="M255" s="102"/>
      <c r="N255" s="102"/>
      <c r="O255" s="102"/>
      <c r="P255" s="103"/>
      <c r="Q255" s="102"/>
      <c r="R255" s="103"/>
      <c r="S255" s="102"/>
      <c r="T255" s="147"/>
      <c r="W255" s="19"/>
      <c r="X255" s="102"/>
      <c r="Y255" s="102"/>
      <c r="Z255" s="102"/>
      <c r="AA255" s="103"/>
      <c r="AB255" s="102"/>
      <c r="AC255" s="103"/>
      <c r="AD255" s="102"/>
      <c r="AE255" s="147"/>
    </row>
    <row r="256" spans="1:31" x14ac:dyDescent="0.25">
      <c r="A256" s="129"/>
      <c r="B256" s="129"/>
      <c r="C256" s="129"/>
      <c r="D256" s="129"/>
      <c r="E256" s="129"/>
      <c r="F256" s="129"/>
      <c r="G256" s="129"/>
      <c r="H256" s="129"/>
      <c r="I256" s="129"/>
      <c r="L256" s="129"/>
      <c r="M256" s="129"/>
      <c r="N256" s="129"/>
      <c r="O256" s="129"/>
      <c r="P256" s="129"/>
      <c r="Q256" s="129"/>
      <c r="R256" s="129"/>
      <c r="S256" s="129"/>
      <c r="T256" s="129"/>
      <c r="W256" s="129"/>
      <c r="X256" s="129"/>
      <c r="Y256" s="129"/>
      <c r="Z256" s="129"/>
      <c r="AA256" s="129"/>
      <c r="AB256" s="129"/>
      <c r="AC256" s="129"/>
      <c r="AD256" s="129"/>
      <c r="AE256" s="129"/>
    </row>
    <row r="257" spans="1:31" x14ac:dyDescent="0.25">
      <c r="A257" s="130" t="s">
        <v>85</v>
      </c>
      <c r="B257" s="131"/>
      <c r="C257" s="136" t="s">
        <v>86</v>
      </c>
      <c r="D257" s="137"/>
      <c r="E257" s="56" t="s">
        <v>164</v>
      </c>
      <c r="F257" s="145">
        <f>IF(ISBLANK(F233),"",IF(ISERROR(VLOOKUP(F233,PAPELERIA_PAPEL_Y_LÁPIZ,13,FALSE)),"El dato no existe",VLOOKUP(F233,PAPELERIA_PAPEL_Y_LÁPIZ,13,FALSE)))</f>
        <v>254030</v>
      </c>
      <c r="G257" s="145"/>
      <c r="H257" s="145"/>
      <c r="I257" s="146"/>
      <c r="L257" s="130" t="s">
        <v>85</v>
      </c>
      <c r="M257" s="131"/>
      <c r="N257" s="136" t="s">
        <v>86</v>
      </c>
      <c r="O257" s="137"/>
      <c r="P257" s="56" t="s">
        <v>164</v>
      </c>
      <c r="Q257" s="145">
        <f>IF(ISBLANK(Q233),"",IF(ISERROR(VLOOKUP(Q233,PAPELERIA_PAPEL_Y_LÁPIZ,13,FALSE)),"El dato no existe",VLOOKUP(Q233,PAPELERIA_PAPEL_Y_LÁPIZ,13,FALSE)))</f>
        <v>68760</v>
      </c>
      <c r="R257" s="145"/>
      <c r="S257" s="145"/>
      <c r="T257" s="146"/>
      <c r="W257" s="130" t="s">
        <v>85</v>
      </c>
      <c r="X257" s="131"/>
      <c r="Y257" s="136" t="s">
        <v>86</v>
      </c>
      <c r="Z257" s="137"/>
      <c r="AA257" s="56" t="s">
        <v>164</v>
      </c>
      <c r="AB257" s="145">
        <f>IF(ISBLANK(AB233),"",IF(ISERROR(VLOOKUP(AB233,PAPELERIA_PAPEL_Y_LÁPIZ,13,FALSE)),"El dato no existe",VLOOKUP(AB233,PAPELERIA_PAPEL_Y_LÁPIZ,13,FALSE)))</f>
        <v>91335.2</v>
      </c>
      <c r="AC257" s="145"/>
      <c r="AD257" s="145"/>
      <c r="AE257" s="146"/>
    </row>
    <row r="258" spans="1:31" x14ac:dyDescent="0.25">
      <c r="A258" s="132"/>
      <c r="B258" s="133"/>
      <c r="C258" s="138"/>
      <c r="D258" s="139"/>
      <c r="E258" s="140"/>
      <c r="F258" s="141"/>
      <c r="G258" s="141"/>
      <c r="H258" s="141"/>
      <c r="I258" s="142"/>
      <c r="L258" s="132"/>
      <c r="M258" s="133"/>
      <c r="N258" s="138"/>
      <c r="O258" s="139"/>
      <c r="P258" s="140"/>
      <c r="Q258" s="141"/>
      <c r="R258" s="141"/>
      <c r="S258" s="141"/>
      <c r="T258" s="142"/>
      <c r="W258" s="132"/>
      <c r="X258" s="133"/>
      <c r="Y258" s="138"/>
      <c r="Z258" s="139"/>
      <c r="AA258" s="140"/>
      <c r="AB258" s="141"/>
      <c r="AC258" s="141"/>
      <c r="AD258" s="141"/>
      <c r="AE258" s="142"/>
    </row>
    <row r="259" spans="1:31" x14ac:dyDescent="0.25">
      <c r="A259" s="134"/>
      <c r="B259" s="135"/>
      <c r="C259" s="143" t="s">
        <v>87</v>
      </c>
      <c r="D259" s="144"/>
      <c r="E259" s="56"/>
      <c r="F259" s="145">
        <f>IF(ISBLANK(F233),"",IF(ISERROR(VLOOKUP(F233,PAPELERIA_PAPEL_Y_LÁPIZ,16,FALSE)),"El dato no existe",VLOOKUP(F233,PAPELERIA_PAPEL_Y_LÁPIZ,16,FALSE)))</f>
        <v>293404.65000000002</v>
      </c>
      <c r="G259" s="145"/>
      <c r="H259" s="145"/>
      <c r="I259" s="146"/>
      <c r="L259" s="134"/>
      <c r="M259" s="135"/>
      <c r="N259" s="143" t="s">
        <v>87</v>
      </c>
      <c r="O259" s="144"/>
      <c r="P259" s="56"/>
      <c r="Q259" s="145">
        <f>IF(ISBLANK(Q233),"",IF(ISERROR(VLOOKUP(Q233,PAPELERIA_PAPEL_Y_LÁPIZ,16,FALSE)),"El dato no existe",VLOOKUP(Q233,PAPELERIA_PAPEL_Y_LÁPIZ,16,FALSE)))</f>
        <v>66353.399999999994</v>
      </c>
      <c r="R259" s="145"/>
      <c r="S259" s="145"/>
      <c r="T259" s="146"/>
      <c r="W259" s="134"/>
      <c r="X259" s="135"/>
      <c r="Y259" s="143" t="s">
        <v>87</v>
      </c>
      <c r="Z259" s="144"/>
      <c r="AA259" s="56"/>
      <c r="AB259" s="145">
        <f>IF(ISBLANK(AB233),"",IF(ISERROR(VLOOKUP(AB233,PAPELERIA_PAPEL_Y_LÁPIZ,16,FALSE)),"El dato no existe",VLOOKUP(AB233,PAPELERIA_PAPEL_Y_LÁPIZ,16,FALSE)))</f>
        <v>105492.15599999999</v>
      </c>
      <c r="AC259" s="145"/>
      <c r="AD259" s="145"/>
      <c r="AE259" s="146"/>
    </row>
    <row r="262" spans="1:31" x14ac:dyDescent="0.25">
      <c r="A262" s="110" t="s">
        <v>96</v>
      </c>
      <c r="B262" s="111"/>
      <c r="C262" s="111"/>
      <c r="D262" s="112"/>
      <c r="E262" s="116" t="s">
        <v>78</v>
      </c>
      <c r="F262" s="118">
        <v>710</v>
      </c>
      <c r="G262" s="118"/>
      <c r="H262" s="118"/>
      <c r="I262" s="118"/>
      <c r="L262" s="110" t="s">
        <v>96</v>
      </c>
      <c r="M262" s="111"/>
      <c r="N262" s="111"/>
      <c r="O262" s="112"/>
      <c r="P262" s="116" t="s">
        <v>78</v>
      </c>
      <c r="Q262" s="118">
        <v>720</v>
      </c>
      <c r="R262" s="118"/>
      <c r="S262" s="118"/>
      <c r="T262" s="118"/>
      <c r="W262" s="110" t="s">
        <v>96</v>
      </c>
      <c r="X262" s="111"/>
      <c r="Y262" s="111"/>
      <c r="Z262" s="112"/>
      <c r="AA262" s="116" t="s">
        <v>78</v>
      </c>
      <c r="AB262" s="118">
        <v>730</v>
      </c>
      <c r="AC262" s="118"/>
      <c r="AD262" s="118"/>
      <c r="AE262" s="118"/>
    </row>
    <row r="263" spans="1:31" x14ac:dyDescent="0.25">
      <c r="A263" s="113"/>
      <c r="B263" s="114"/>
      <c r="C263" s="114"/>
      <c r="D263" s="115"/>
      <c r="E263" s="117"/>
      <c r="F263" s="118"/>
      <c r="G263" s="118"/>
      <c r="H263" s="118"/>
      <c r="I263" s="118"/>
      <c r="L263" s="113"/>
      <c r="M263" s="114"/>
      <c r="N263" s="114"/>
      <c r="O263" s="115"/>
      <c r="P263" s="117"/>
      <c r="Q263" s="118"/>
      <c r="R263" s="118"/>
      <c r="S263" s="118"/>
      <c r="T263" s="118"/>
      <c r="W263" s="113"/>
      <c r="X263" s="114"/>
      <c r="Y263" s="114"/>
      <c r="Z263" s="115"/>
      <c r="AA263" s="117"/>
      <c r="AB263" s="118"/>
      <c r="AC263" s="118"/>
      <c r="AD263" s="118"/>
      <c r="AE263" s="118"/>
    </row>
    <row r="264" spans="1:31" x14ac:dyDescent="0.25">
      <c r="A264" s="119" t="s">
        <v>3</v>
      </c>
      <c r="B264" s="121" t="str">
        <f>IF(ISBLANK(F262),"",IF(ISERROR(VLOOKUP(F262,PAPELERIA_PAPEL_Y_LÁPIZ,3,FALSE)),"El dato no existe",VLOOKUP(F262,PAPELERIA_PAPEL_Y_LÁPIZ,3,FALSE)))</f>
        <v>ESCUELA COLOMBIANA DE  INGENIERIA</v>
      </c>
      <c r="C264" s="121"/>
      <c r="D264" s="121"/>
      <c r="E264" s="122"/>
      <c r="F264" s="125" t="s">
        <v>79</v>
      </c>
      <c r="G264" s="125"/>
      <c r="H264" s="125"/>
      <c r="I264" s="126"/>
      <c r="L264" s="119" t="s">
        <v>3</v>
      </c>
      <c r="M264" s="121" t="str">
        <f>IF(ISBLANK(Q262),"",IF(ISERROR(VLOOKUP(Q262,PAPELERIA_PAPEL_Y_LÁPIZ,3,FALSE)),"El dato no existe",VLOOKUP(Q262,PAPELERIA_PAPEL_Y_LÁPIZ,3,FALSE)))</f>
        <v>UNIVERSIDAD TÉCNICO AGRÍCOLA ITA</v>
      </c>
      <c r="N264" s="121"/>
      <c r="O264" s="121"/>
      <c r="P264" s="122"/>
      <c r="Q264" s="125" t="s">
        <v>79</v>
      </c>
      <c r="R264" s="125"/>
      <c r="S264" s="125"/>
      <c r="T264" s="126"/>
      <c r="W264" s="119" t="s">
        <v>3</v>
      </c>
      <c r="X264" s="121" t="str">
        <f>IF(ISBLANK(AB262),"",IF(ISERROR(VLOOKUP(AB262,PAPELERIA_PAPEL_Y_LÁPIZ,3,FALSE)),"El dato no existe",VLOOKUP(AB262,PAPELERIA_PAPEL_Y_LÁPIZ,3,FALSE)))</f>
        <v>UNIVERSIDAD DEL ATLÁNTICO</v>
      </c>
      <c r="Y264" s="121"/>
      <c r="Z264" s="121"/>
      <c r="AA264" s="122"/>
      <c r="AB264" s="125" t="s">
        <v>79</v>
      </c>
      <c r="AC264" s="125"/>
      <c r="AD264" s="125"/>
      <c r="AE264" s="126"/>
    </row>
    <row r="265" spans="1:31" x14ac:dyDescent="0.25">
      <c r="A265" s="120"/>
      <c r="B265" s="123"/>
      <c r="C265" s="123"/>
      <c r="D265" s="123"/>
      <c r="E265" s="124"/>
      <c r="F265" s="127">
        <v>26</v>
      </c>
      <c r="G265" s="128"/>
      <c r="H265" s="30">
        <v>11</v>
      </c>
      <c r="I265" s="28">
        <v>2018</v>
      </c>
      <c r="L265" s="120"/>
      <c r="M265" s="123"/>
      <c r="N265" s="123"/>
      <c r="O265" s="123"/>
      <c r="P265" s="124"/>
      <c r="Q265" s="127">
        <v>26</v>
      </c>
      <c r="R265" s="128"/>
      <c r="S265" s="30">
        <v>11</v>
      </c>
      <c r="T265" s="28">
        <v>2018</v>
      </c>
      <c r="W265" s="120"/>
      <c r="X265" s="123"/>
      <c r="Y265" s="123"/>
      <c r="Z265" s="123"/>
      <c r="AA265" s="124"/>
      <c r="AB265" s="127">
        <v>26</v>
      </c>
      <c r="AC265" s="128"/>
      <c r="AD265" s="30">
        <v>11</v>
      </c>
      <c r="AE265" s="28">
        <v>2018</v>
      </c>
    </row>
    <row r="266" spans="1:31" x14ac:dyDescent="0.25">
      <c r="A266" s="29" t="s">
        <v>95</v>
      </c>
      <c r="B266" s="94" t="str">
        <f>IF(ISBLANK(F262),"",IF(ISERROR(VLOOKUP(F262,PAPELERIA_PAPEL_Y_LÁPIZ,2,FALSE)),"El dato no existe",VLOOKUP(F262,PAPELERIA_PAPEL_Y_LÁPIZ,2,FALSE)))</f>
        <v>890985856-3</v>
      </c>
      <c r="C266" s="95"/>
      <c r="D266" s="29" t="s">
        <v>94</v>
      </c>
      <c r="E266" s="93" t="str">
        <f>IF(ISBLANK(F262),"",IF(ISERROR(VLOOKUP(F262,PAPELERIA_PAPEL_Y_LÁPIZ,5,FALSE)),"El dato no existe",VLOOKUP(F262,PAPELERIA_PAPEL_Y_LÁPIZ,5,FALSE)))</f>
        <v>Calle 46 N° 13-43</v>
      </c>
      <c r="F266" s="93"/>
      <c r="G266" s="93"/>
      <c r="H266" s="93"/>
      <c r="I266" s="93"/>
      <c r="L266" s="29" t="s">
        <v>95</v>
      </c>
      <c r="M266" s="94" t="str">
        <f>IF(ISBLANK(Q262),"",IF(ISERROR(VLOOKUP(Q262,PAPELERIA_PAPEL_Y_LÁPIZ,2,FALSE)),"El dato no existe",VLOOKUP(Q262,PAPELERIA_PAPEL_Y_LÁPIZ,2,FALSE)))</f>
        <v>890212433-5</v>
      </c>
      <c r="N266" s="95"/>
      <c r="O266" s="29" t="s">
        <v>94</v>
      </c>
      <c r="P266" s="93" t="str">
        <f>IF(ISBLANK(Q262),"",IF(ISERROR(VLOOKUP(Q262,PAPELERIA_PAPEL_Y_LÁPIZ,5,FALSE)),"El dato no existe",VLOOKUP(Q262,PAPELERIA_PAPEL_Y_LÁPIZ,5,FALSE)))</f>
        <v>Carrera 53 N° 59-70</v>
      </c>
      <c r="Q266" s="93"/>
      <c r="R266" s="93"/>
      <c r="S266" s="93"/>
      <c r="T266" s="93"/>
      <c r="W266" s="29" t="s">
        <v>95</v>
      </c>
      <c r="X266" s="94" t="str">
        <f>IF(ISBLANK(AB262),"",IF(ISERROR(VLOOKUP(AB262,PAPELERIA_PAPEL_Y_LÁPIZ,2,FALSE)),"El dato no existe",VLOOKUP(AB262,PAPELERIA_PAPEL_Y_LÁPIZ,2,FALSE)))</f>
        <v>860510627-6</v>
      </c>
      <c r="Y266" s="95"/>
      <c r="Z266" s="29" t="s">
        <v>94</v>
      </c>
      <c r="AA266" s="93" t="str">
        <f>IF(ISBLANK(AB262),"",IF(ISERROR(VLOOKUP(AB262,PAPELERIA_PAPEL_Y_LÁPIZ,5,FALSE)),"El dato no existe",VLOOKUP(AB262,PAPELERIA_PAPEL_Y_LÁPIZ,5,FALSE)))</f>
        <v>Calle 9 N° 34-01</v>
      </c>
      <c r="AB266" s="93"/>
      <c r="AC266" s="93"/>
      <c r="AD266" s="93"/>
      <c r="AE266" s="93"/>
    </row>
    <row r="267" spans="1:31" x14ac:dyDescent="0.25">
      <c r="A267" s="31" t="s">
        <v>80</v>
      </c>
      <c r="B267" s="94">
        <f>IF(ISBLANK(F262),"",IF(ISERROR(VLOOKUP(F262,PAPELERIA_PAPEL_Y_LÁPIZ,4,FALSE)),"El dato no existe",VLOOKUP(F262,PAPELERIA_PAPEL_Y_LÁPIZ,4,FALSE)))</f>
        <v>2451333</v>
      </c>
      <c r="C267" s="95"/>
      <c r="D267" s="91" t="s">
        <v>91</v>
      </c>
      <c r="E267" s="92"/>
      <c r="F267" s="96" t="str">
        <f>IF(ISBLANK(F262),"",IF(ISERROR(VLOOKUP(F262,PAPELERIA_PAPEL_Y_LÁPIZ,17,FALSE)),"El dato no existe",VLOOKUP(F262,PAPELERIA_PAPEL_Y_LÁPIZ,17,FALSE)))</f>
        <v>CRÉDITO</v>
      </c>
      <c r="G267" s="97"/>
      <c r="H267" s="97"/>
      <c r="I267" s="98"/>
      <c r="L267" s="31" t="s">
        <v>80</v>
      </c>
      <c r="M267" s="94">
        <f>IF(ISBLANK(Q262),"",IF(ISERROR(VLOOKUP(Q262,PAPELERIA_PAPEL_Y_LÁPIZ,4,FALSE)),"El dato no existe",VLOOKUP(Q262,PAPELERIA_PAPEL_Y_LÁPIZ,4,FALSE)))</f>
        <v>3172267</v>
      </c>
      <c r="N267" s="95"/>
      <c r="O267" s="91" t="s">
        <v>91</v>
      </c>
      <c r="P267" s="92"/>
      <c r="Q267" s="96" t="str">
        <f>IF(ISBLANK(Q262),"",IF(ISERROR(VLOOKUP(Q262,PAPELERIA_PAPEL_Y_LÁPIZ,17,FALSE)),"El dato no existe",VLOOKUP(Q262,PAPELERIA_PAPEL_Y_LÁPIZ,17,FALSE)))</f>
        <v>CONTADO</v>
      </c>
      <c r="R267" s="97"/>
      <c r="S267" s="97"/>
      <c r="T267" s="98"/>
      <c r="W267" s="31" t="s">
        <v>80</v>
      </c>
      <c r="X267" s="94">
        <f>IF(ISBLANK(AB262),"",IF(ISERROR(VLOOKUP(AB262,PAPELERIA_PAPEL_Y_LÁPIZ,4,FALSE)),"El dato no existe",VLOOKUP(AB262,PAPELERIA_PAPEL_Y_LÁPIZ,4,FALSE)))</f>
        <v>2880693</v>
      </c>
      <c r="Y267" s="95"/>
      <c r="Z267" s="91" t="s">
        <v>91</v>
      </c>
      <c r="AA267" s="92"/>
      <c r="AB267" s="96" t="str">
        <f>IF(ISBLANK(AB262),"",IF(ISERROR(VLOOKUP(AB262,PAPELERIA_PAPEL_Y_LÁPIZ,17,FALSE)),"El dato no existe",VLOOKUP(AB262,PAPELERIA_PAPEL_Y_LÁPIZ,17,FALSE)))</f>
        <v>CONTADO</v>
      </c>
      <c r="AC267" s="97"/>
      <c r="AD267" s="97"/>
      <c r="AE267" s="98"/>
    </row>
    <row r="268" spans="1:31" x14ac:dyDescent="0.25">
      <c r="A268" s="16" t="s">
        <v>81</v>
      </c>
      <c r="B268" s="86" t="s">
        <v>82</v>
      </c>
      <c r="C268" s="87"/>
      <c r="D268" s="87"/>
      <c r="E268" s="88"/>
      <c r="F268" s="89" t="s">
        <v>83</v>
      </c>
      <c r="G268" s="90"/>
      <c r="H268" s="86" t="s">
        <v>84</v>
      </c>
      <c r="I268" s="88"/>
      <c r="L268" s="16" t="s">
        <v>81</v>
      </c>
      <c r="M268" s="86" t="s">
        <v>82</v>
      </c>
      <c r="N268" s="87"/>
      <c r="O268" s="87"/>
      <c r="P268" s="88"/>
      <c r="Q268" s="89" t="s">
        <v>83</v>
      </c>
      <c r="R268" s="90"/>
      <c r="S268" s="86" t="s">
        <v>84</v>
      </c>
      <c r="T268" s="88"/>
      <c r="W268" s="16" t="s">
        <v>81</v>
      </c>
      <c r="X268" s="86" t="s">
        <v>82</v>
      </c>
      <c r="Y268" s="87"/>
      <c r="Z268" s="87"/>
      <c r="AA268" s="88"/>
      <c r="AB268" s="89" t="s">
        <v>83</v>
      </c>
      <c r="AC268" s="90"/>
      <c r="AD268" s="86" t="s">
        <v>84</v>
      </c>
      <c r="AE268" s="88"/>
    </row>
    <row r="269" spans="1:31" x14ac:dyDescent="0.25">
      <c r="A269" s="17">
        <f>IF(ISBLANK(F262),"",IF(ISERROR(VLOOKUP(F262,PAPELERIA_PAPEL_Y_LÁPIZ,8,FALSE)),"El dato no existe",VLOOKUP(F262,PAPELERIA_PAPEL_Y_LÁPIZ,8,FALSE)))</f>
        <v>35</v>
      </c>
      <c r="B269" s="99" t="str">
        <f>IF(ISBLANK(F262),"",IF(ISERROR(VLOOKUP(F262,PAPELERIA_PAPEL_Y_LÁPIZ,7,FALSE)),"El dato no existe",VLOOKUP(F262,PAPELERIA_PAPEL_Y_LÁPIZ,7,FALSE)))</f>
        <v xml:space="preserve">CAJA DE RESMAS TAMAÑO OFICIO </v>
      </c>
      <c r="C269" s="100"/>
      <c r="D269" s="100"/>
      <c r="E269" s="101"/>
      <c r="F269" s="106">
        <f>IF(ISBLANK(F262),"",IF(ISERROR(VLOOKUP(F262,PAPELERIA_PAPEL_Y_LÁPIZ,10,FALSE)),"El dato no existe",VLOOKUP(F262,PAPELERIA_PAPEL_Y_LÁPIZ,10,FALSE)))</f>
        <v>34890</v>
      </c>
      <c r="G269" s="107"/>
      <c r="H269" s="108">
        <f>IF(ISBLANK(F262),"",IF(ISERROR(VLOOKUP(F262,PAPELERIA_PAPEL_Y_LÁPIZ,11,FALSE)),"El dato no existe",VLOOKUP(F262,PAPELERIA_PAPEL_Y_LÁPIZ,11,FALSE)))</f>
        <v>1221150</v>
      </c>
      <c r="I269" s="109"/>
      <c r="L269" s="17">
        <f>IF(ISBLANK(Q262),"",IF(ISERROR(VLOOKUP(Q262,PAPELERIA_PAPEL_Y_LÁPIZ,8,FALSE)),"El dato no existe",VLOOKUP(Q262,PAPELERIA_PAPEL_Y_LÁPIZ,8,FALSE)))</f>
        <v>45</v>
      </c>
      <c r="M269" s="99" t="str">
        <f>IF(ISBLANK(Q262),"",IF(ISERROR(VLOOKUP(Q262,PAPELERIA_PAPEL_Y_LÁPIZ,7,FALSE)),"El dato no existe",VLOOKUP(Q262,PAPELERIA_PAPEL_Y_LÁPIZ,7,FALSE)))</f>
        <v>CAJA DE LAPICEROS KILOMETRICO X 12 U</v>
      </c>
      <c r="N269" s="100"/>
      <c r="O269" s="100"/>
      <c r="P269" s="101"/>
      <c r="Q269" s="106">
        <f>IF(ISBLANK(Q262),"",IF(ISERROR(VLOOKUP(Q262,PAPELERIA_PAPEL_Y_LÁPIZ,10,FALSE)),"El dato no existe",VLOOKUP(Q262,PAPELERIA_PAPEL_Y_LÁPIZ,10,FALSE)))</f>
        <v>3500</v>
      </c>
      <c r="R269" s="107"/>
      <c r="S269" s="108">
        <f>IF(ISBLANK(Q262),"",IF(ISERROR(VLOOKUP(Q262,PAPELERIA_PAPEL_Y_LÁPIZ,11,FALSE)),"El dato no existe",VLOOKUP(Q262,PAPELERIA_PAPEL_Y_LÁPIZ,11,FALSE)))</f>
        <v>157500</v>
      </c>
      <c r="T269" s="109"/>
      <c r="W269" s="17">
        <f>IF(ISBLANK(AB262),"",IF(ISERROR(VLOOKUP(AB262,PAPELERIA_PAPEL_Y_LÁPIZ,8,FALSE)),"El dato no existe",VLOOKUP(AB262,PAPELERIA_PAPEL_Y_LÁPIZ,8,FALSE)))</f>
        <v>10</v>
      </c>
      <c r="X269" s="99" t="str">
        <f>IF(ISBLANK(AB262),"",IF(ISERROR(VLOOKUP(AB262,PAPELERIA_PAPEL_Y_LÁPIZ,7,FALSE)),"El dato no existe",VLOOKUP(AB262,PAPELERIA_PAPEL_Y_LÁPIZ,7,FALSE)))</f>
        <v xml:space="preserve">MORRAL </v>
      </c>
      <c r="Y269" s="100"/>
      <c r="Z269" s="100"/>
      <c r="AA269" s="101"/>
      <c r="AB269" s="106">
        <f>IF(ISBLANK(AB262),"",IF(ISERROR(VLOOKUP(AB262,PAPELERIA_PAPEL_Y_LÁPIZ,10,FALSE)),"El dato no existe",VLOOKUP(AB262,PAPELERIA_PAPEL_Y_LÁPIZ,10,FALSE)))</f>
        <v>24000</v>
      </c>
      <c r="AC269" s="107"/>
      <c r="AD269" s="108">
        <f>IF(ISBLANK(AB262),"",IF(ISERROR(VLOOKUP(AB262,PAPELERIA_PAPEL_Y_LÁPIZ,11,FALSE)),"El dato no existe",VLOOKUP(AB262,PAPELERIA_PAPEL_Y_LÁPIZ,11,FALSE)))</f>
        <v>240000</v>
      </c>
      <c r="AE269" s="109"/>
    </row>
    <row r="270" spans="1:31" x14ac:dyDescent="0.25">
      <c r="A270" s="18"/>
      <c r="B270" s="104"/>
      <c r="C270" s="104"/>
      <c r="D270" s="104"/>
      <c r="E270" s="105"/>
      <c r="F270" s="104"/>
      <c r="G270" s="105"/>
      <c r="H270" s="104"/>
      <c r="I270" s="105"/>
      <c r="L270" s="18"/>
      <c r="M270" s="104"/>
      <c r="N270" s="104"/>
      <c r="O270" s="104"/>
      <c r="P270" s="105"/>
      <c r="Q270" s="104"/>
      <c r="R270" s="105"/>
      <c r="S270" s="104"/>
      <c r="T270" s="105"/>
      <c r="W270" s="18"/>
      <c r="X270" s="104"/>
      <c r="Y270" s="104"/>
      <c r="Z270" s="104"/>
      <c r="AA270" s="105"/>
      <c r="AB270" s="104"/>
      <c r="AC270" s="105"/>
      <c r="AD270" s="104"/>
      <c r="AE270" s="105"/>
    </row>
    <row r="271" spans="1:31" x14ac:dyDescent="0.25">
      <c r="A271" s="17"/>
      <c r="B271" s="99"/>
      <c r="C271" s="100"/>
      <c r="D271" s="100"/>
      <c r="E271" s="101"/>
      <c r="F271" s="100"/>
      <c r="G271" s="100"/>
      <c r="H271" s="99"/>
      <c r="I271" s="101"/>
      <c r="L271" s="17"/>
      <c r="M271" s="99"/>
      <c r="N271" s="100"/>
      <c r="O271" s="100"/>
      <c r="P271" s="101"/>
      <c r="Q271" s="100"/>
      <c r="R271" s="100"/>
      <c r="S271" s="99"/>
      <c r="T271" s="101"/>
      <c r="W271" s="17"/>
      <c r="X271" s="99"/>
      <c r="Y271" s="100"/>
      <c r="Z271" s="100"/>
      <c r="AA271" s="101"/>
      <c r="AB271" s="100"/>
      <c r="AC271" s="100"/>
      <c r="AD271" s="99"/>
      <c r="AE271" s="101"/>
    </row>
    <row r="272" spans="1:31" x14ac:dyDescent="0.25">
      <c r="A272" s="18"/>
      <c r="B272" s="104"/>
      <c r="C272" s="104"/>
      <c r="D272" s="104"/>
      <c r="E272" s="105"/>
      <c r="F272" s="104"/>
      <c r="G272" s="105"/>
      <c r="H272" s="104"/>
      <c r="I272" s="105"/>
      <c r="L272" s="18"/>
      <c r="M272" s="104"/>
      <c r="N272" s="104"/>
      <c r="O272" s="104"/>
      <c r="P272" s="105"/>
      <c r="Q272" s="104"/>
      <c r="R272" s="105"/>
      <c r="S272" s="104"/>
      <c r="T272" s="105"/>
      <c r="W272" s="18"/>
      <c r="X272" s="104"/>
      <c r="Y272" s="104"/>
      <c r="Z272" s="104"/>
      <c r="AA272" s="105"/>
      <c r="AB272" s="104"/>
      <c r="AC272" s="105"/>
      <c r="AD272" s="104"/>
      <c r="AE272" s="105"/>
    </row>
    <row r="273" spans="1:31" x14ac:dyDescent="0.25">
      <c r="A273" s="17"/>
      <c r="B273" s="99"/>
      <c r="C273" s="100"/>
      <c r="D273" s="100"/>
      <c r="E273" s="101"/>
      <c r="F273" s="100"/>
      <c r="G273" s="100"/>
      <c r="H273" s="99"/>
      <c r="I273" s="101"/>
      <c r="L273" s="17"/>
      <c r="M273" s="99"/>
      <c r="N273" s="100"/>
      <c r="O273" s="100"/>
      <c r="P273" s="101"/>
      <c r="Q273" s="100"/>
      <c r="R273" s="100"/>
      <c r="S273" s="99"/>
      <c r="T273" s="101"/>
      <c r="W273" s="17"/>
      <c r="X273" s="99"/>
      <c r="Y273" s="100"/>
      <c r="Z273" s="100"/>
      <c r="AA273" s="101"/>
      <c r="AB273" s="100"/>
      <c r="AC273" s="100"/>
      <c r="AD273" s="99"/>
      <c r="AE273" s="101"/>
    </row>
    <row r="274" spans="1:31" x14ac:dyDescent="0.25">
      <c r="A274" s="19"/>
      <c r="B274" s="102"/>
      <c r="C274" s="102"/>
      <c r="D274" s="102"/>
      <c r="E274" s="103"/>
      <c r="F274" s="102"/>
      <c r="G274" s="103"/>
      <c r="H274" s="102"/>
      <c r="I274" s="103"/>
      <c r="L274" s="19"/>
      <c r="M274" s="102"/>
      <c r="N274" s="102"/>
      <c r="O274" s="102"/>
      <c r="P274" s="103"/>
      <c r="Q274" s="102"/>
      <c r="R274" s="103"/>
      <c r="S274" s="102"/>
      <c r="T274" s="103"/>
      <c r="W274" s="19"/>
      <c r="X274" s="102"/>
      <c r="Y274" s="102"/>
      <c r="Z274" s="102"/>
      <c r="AA274" s="103"/>
      <c r="AB274" s="102"/>
      <c r="AC274" s="103"/>
      <c r="AD274" s="102"/>
      <c r="AE274" s="103"/>
    </row>
    <row r="275" spans="1:31" x14ac:dyDescent="0.25">
      <c r="A275" s="17"/>
      <c r="B275" s="99"/>
      <c r="C275" s="100"/>
      <c r="D275" s="100"/>
      <c r="E275" s="101"/>
      <c r="F275" s="100"/>
      <c r="G275" s="100"/>
      <c r="H275" s="99"/>
      <c r="I275" s="101"/>
      <c r="L275" s="17"/>
      <c r="M275" s="99"/>
      <c r="N275" s="100"/>
      <c r="O275" s="100"/>
      <c r="P275" s="101"/>
      <c r="Q275" s="100"/>
      <c r="R275" s="100"/>
      <c r="S275" s="99"/>
      <c r="T275" s="101"/>
      <c r="W275" s="17"/>
      <c r="X275" s="99"/>
      <c r="Y275" s="100"/>
      <c r="Z275" s="100"/>
      <c r="AA275" s="101"/>
      <c r="AB275" s="100"/>
      <c r="AC275" s="100"/>
      <c r="AD275" s="99"/>
      <c r="AE275" s="101"/>
    </row>
    <row r="276" spans="1:31" x14ac:dyDescent="0.25">
      <c r="A276" s="19"/>
      <c r="B276" s="102"/>
      <c r="C276" s="102"/>
      <c r="D276" s="102"/>
      <c r="E276" s="103"/>
      <c r="F276" s="102"/>
      <c r="G276" s="103"/>
      <c r="H276" s="102"/>
      <c r="I276" s="103"/>
      <c r="L276" s="19"/>
      <c r="M276" s="102"/>
      <c r="N276" s="102"/>
      <c r="O276" s="102"/>
      <c r="P276" s="103"/>
      <c r="Q276" s="102"/>
      <c r="R276" s="103"/>
      <c r="S276" s="102"/>
      <c r="T276" s="103"/>
      <c r="W276" s="19"/>
      <c r="X276" s="102"/>
      <c r="Y276" s="102"/>
      <c r="Z276" s="102"/>
      <c r="AA276" s="103"/>
      <c r="AB276" s="102"/>
      <c r="AC276" s="103"/>
      <c r="AD276" s="102"/>
      <c r="AE276" s="103"/>
    </row>
    <row r="277" spans="1:31" x14ac:dyDescent="0.25">
      <c r="A277" s="19"/>
      <c r="B277" s="102"/>
      <c r="C277" s="102"/>
      <c r="D277" s="102"/>
      <c r="E277" s="103"/>
      <c r="F277" s="102"/>
      <c r="G277" s="103"/>
      <c r="H277" s="102"/>
      <c r="I277" s="103"/>
      <c r="L277" s="19"/>
      <c r="M277" s="102"/>
      <c r="N277" s="102"/>
      <c r="O277" s="102"/>
      <c r="P277" s="103"/>
      <c r="Q277" s="102"/>
      <c r="R277" s="103"/>
      <c r="S277" s="102"/>
      <c r="T277" s="103"/>
      <c r="W277" s="19"/>
      <c r="X277" s="102"/>
      <c r="Y277" s="102"/>
      <c r="Z277" s="102"/>
      <c r="AA277" s="103"/>
      <c r="AB277" s="102"/>
      <c r="AC277" s="103"/>
      <c r="AD277" s="102"/>
      <c r="AE277" s="103"/>
    </row>
    <row r="278" spans="1:31" x14ac:dyDescent="0.25">
      <c r="A278" s="18"/>
      <c r="B278" s="104"/>
      <c r="C278" s="104"/>
      <c r="D278" s="104"/>
      <c r="E278" s="105"/>
      <c r="F278" s="104"/>
      <c r="G278" s="105"/>
      <c r="H278" s="104"/>
      <c r="I278" s="105"/>
      <c r="L278" s="18"/>
      <c r="M278" s="104"/>
      <c r="N278" s="104"/>
      <c r="O278" s="104"/>
      <c r="P278" s="105"/>
      <c r="Q278" s="104"/>
      <c r="R278" s="105"/>
      <c r="S278" s="104"/>
      <c r="T278" s="105"/>
      <c r="W278" s="18"/>
      <c r="X278" s="104"/>
      <c r="Y278" s="104"/>
      <c r="Z278" s="104"/>
      <c r="AA278" s="105"/>
      <c r="AB278" s="104"/>
      <c r="AC278" s="105"/>
      <c r="AD278" s="104"/>
      <c r="AE278" s="105"/>
    </row>
    <row r="279" spans="1:31" x14ac:dyDescent="0.25">
      <c r="A279" s="17"/>
      <c r="B279" s="99"/>
      <c r="C279" s="100"/>
      <c r="D279" s="100"/>
      <c r="E279" s="101"/>
      <c r="F279" s="100"/>
      <c r="G279" s="100"/>
      <c r="H279" s="99"/>
      <c r="I279" s="101"/>
      <c r="L279" s="17"/>
      <c r="M279" s="99"/>
      <c r="N279" s="100"/>
      <c r="O279" s="100"/>
      <c r="P279" s="101"/>
      <c r="Q279" s="100"/>
      <c r="R279" s="100"/>
      <c r="S279" s="99"/>
      <c r="T279" s="101"/>
      <c r="W279" s="17"/>
      <c r="X279" s="99"/>
      <c r="Y279" s="100"/>
      <c r="Z279" s="100"/>
      <c r="AA279" s="101"/>
      <c r="AB279" s="100"/>
      <c r="AC279" s="100"/>
      <c r="AD279" s="99"/>
      <c r="AE279" s="101"/>
    </row>
    <row r="280" spans="1:31" x14ac:dyDescent="0.25">
      <c r="A280" s="19"/>
      <c r="B280" s="102"/>
      <c r="C280" s="102"/>
      <c r="D280" s="102"/>
      <c r="E280" s="103"/>
      <c r="F280" s="102"/>
      <c r="G280" s="103"/>
      <c r="H280" s="102"/>
      <c r="I280" s="103"/>
      <c r="L280" s="19"/>
      <c r="M280" s="102"/>
      <c r="N280" s="102"/>
      <c r="O280" s="102"/>
      <c r="P280" s="103"/>
      <c r="Q280" s="102"/>
      <c r="R280" s="103"/>
      <c r="S280" s="102"/>
      <c r="T280" s="103"/>
      <c r="W280" s="19"/>
      <c r="X280" s="102"/>
      <c r="Y280" s="102"/>
      <c r="Z280" s="102"/>
      <c r="AA280" s="103"/>
      <c r="AB280" s="102"/>
      <c r="AC280" s="103"/>
      <c r="AD280" s="102"/>
      <c r="AE280" s="103"/>
    </row>
    <row r="281" spans="1:31" x14ac:dyDescent="0.25">
      <c r="A281" s="19"/>
      <c r="B281" s="102"/>
      <c r="C281" s="102"/>
      <c r="D281" s="102"/>
      <c r="E281" s="103"/>
      <c r="F281" s="102"/>
      <c r="G281" s="103"/>
      <c r="H281" s="102"/>
      <c r="I281" s="103"/>
      <c r="L281" s="19"/>
      <c r="M281" s="102"/>
      <c r="N281" s="102"/>
      <c r="O281" s="102"/>
      <c r="P281" s="103"/>
      <c r="Q281" s="102"/>
      <c r="R281" s="103"/>
      <c r="S281" s="102"/>
      <c r="T281" s="103"/>
      <c r="W281" s="19"/>
      <c r="X281" s="102"/>
      <c r="Y281" s="102"/>
      <c r="Z281" s="102"/>
      <c r="AA281" s="103"/>
      <c r="AB281" s="102"/>
      <c r="AC281" s="103"/>
      <c r="AD281" s="102"/>
      <c r="AE281" s="103"/>
    </row>
    <row r="282" spans="1:31" x14ac:dyDescent="0.25">
      <c r="A282" s="19"/>
      <c r="B282" s="102"/>
      <c r="C282" s="102"/>
      <c r="D282" s="102"/>
      <c r="E282" s="103"/>
      <c r="F282" s="102"/>
      <c r="G282" s="103"/>
      <c r="H282" s="102"/>
      <c r="I282" s="103"/>
      <c r="L282" s="19"/>
      <c r="M282" s="102"/>
      <c r="N282" s="102"/>
      <c r="O282" s="102"/>
      <c r="P282" s="103"/>
      <c r="Q282" s="102"/>
      <c r="R282" s="103"/>
      <c r="S282" s="102"/>
      <c r="T282" s="103"/>
      <c r="W282" s="19"/>
      <c r="X282" s="102"/>
      <c r="Y282" s="102"/>
      <c r="Z282" s="102"/>
      <c r="AA282" s="103"/>
      <c r="AB282" s="102"/>
      <c r="AC282" s="103"/>
      <c r="AD282" s="102"/>
      <c r="AE282" s="103"/>
    </row>
    <row r="283" spans="1:31" x14ac:dyDescent="0.25">
      <c r="A283" s="19"/>
      <c r="B283" s="102"/>
      <c r="C283" s="102"/>
      <c r="D283" s="102"/>
      <c r="E283" s="103"/>
      <c r="F283" s="102"/>
      <c r="G283" s="103"/>
      <c r="H283" s="102"/>
      <c r="I283" s="103"/>
      <c r="L283" s="19"/>
      <c r="M283" s="102"/>
      <c r="N283" s="102"/>
      <c r="O283" s="102"/>
      <c r="P283" s="103"/>
      <c r="Q283" s="102"/>
      <c r="R283" s="103"/>
      <c r="S283" s="102"/>
      <c r="T283" s="103"/>
      <c r="W283" s="19"/>
      <c r="X283" s="102"/>
      <c r="Y283" s="102"/>
      <c r="Z283" s="102"/>
      <c r="AA283" s="103"/>
      <c r="AB283" s="102"/>
      <c r="AC283" s="103"/>
      <c r="AD283" s="102"/>
      <c r="AE283" s="103"/>
    </row>
    <row r="284" spans="1:31" x14ac:dyDescent="0.25">
      <c r="A284" s="19"/>
      <c r="B284" s="102"/>
      <c r="C284" s="102"/>
      <c r="D284" s="102"/>
      <c r="E284" s="103"/>
      <c r="F284" s="102"/>
      <c r="G284" s="103"/>
      <c r="H284" s="102"/>
      <c r="I284" s="147"/>
      <c r="L284" s="19"/>
      <c r="M284" s="102"/>
      <c r="N284" s="102"/>
      <c r="O284" s="102"/>
      <c r="P284" s="103"/>
      <c r="Q284" s="102"/>
      <c r="R284" s="103"/>
      <c r="S284" s="102"/>
      <c r="T284" s="147"/>
      <c r="W284" s="19"/>
      <c r="X284" s="102"/>
      <c r="Y284" s="102"/>
      <c r="Z284" s="102"/>
      <c r="AA284" s="103"/>
      <c r="AB284" s="102"/>
      <c r="AC284" s="103"/>
      <c r="AD284" s="102"/>
      <c r="AE284" s="147"/>
    </row>
    <row r="285" spans="1:31" x14ac:dyDescent="0.25">
      <c r="A285" s="129"/>
      <c r="B285" s="129"/>
      <c r="C285" s="129"/>
      <c r="D285" s="129"/>
      <c r="E285" s="129"/>
      <c r="F285" s="129"/>
      <c r="G285" s="129"/>
      <c r="H285" s="129"/>
      <c r="I285" s="129"/>
      <c r="L285" s="129"/>
      <c r="M285" s="129"/>
      <c r="N285" s="129"/>
      <c r="O285" s="129"/>
      <c r="P285" s="129"/>
      <c r="Q285" s="129"/>
      <c r="R285" s="129"/>
      <c r="S285" s="129"/>
      <c r="T285" s="129"/>
      <c r="W285" s="129"/>
      <c r="X285" s="129"/>
      <c r="Y285" s="129"/>
      <c r="Z285" s="129"/>
      <c r="AA285" s="129"/>
      <c r="AB285" s="129"/>
      <c r="AC285" s="129"/>
      <c r="AD285" s="129"/>
      <c r="AE285" s="129"/>
    </row>
    <row r="286" spans="1:31" x14ac:dyDescent="0.25">
      <c r="A286" s="130" t="s">
        <v>85</v>
      </c>
      <c r="B286" s="131"/>
      <c r="C286" s="136" t="s">
        <v>86</v>
      </c>
      <c r="D286" s="137"/>
      <c r="E286" s="56" t="s">
        <v>164</v>
      </c>
      <c r="F286" s="145">
        <f>IF(ISBLANK(F262),"",IF(ISERROR(VLOOKUP(F262,PAPELERIA_PAPEL_Y_LÁPIZ,13,FALSE)),"El dato no existe",VLOOKUP(F262,PAPELERIA_PAPEL_Y_LÁPIZ,13,FALSE)))</f>
        <v>1160092.5</v>
      </c>
      <c r="G286" s="145"/>
      <c r="H286" s="145"/>
      <c r="I286" s="146"/>
      <c r="L286" s="130" t="s">
        <v>85</v>
      </c>
      <c r="M286" s="131"/>
      <c r="N286" s="136" t="s">
        <v>86</v>
      </c>
      <c r="O286" s="137"/>
      <c r="P286" s="56" t="s">
        <v>164</v>
      </c>
      <c r="Q286" s="145">
        <f>IF(ISBLANK(Q262),"",IF(ISERROR(VLOOKUP(Q262,PAPELERIA_PAPEL_Y_LÁPIZ,13,FALSE)),"El dato no existe",VLOOKUP(Q262,PAPELERIA_PAPEL_Y_LÁPIZ,13,FALSE)))</f>
        <v>149625</v>
      </c>
      <c r="R286" s="145"/>
      <c r="S286" s="145"/>
      <c r="T286" s="146"/>
      <c r="W286" s="130" t="s">
        <v>85</v>
      </c>
      <c r="X286" s="131"/>
      <c r="Y286" s="136" t="s">
        <v>86</v>
      </c>
      <c r="Z286" s="137"/>
      <c r="AA286" s="56" t="s">
        <v>164</v>
      </c>
      <c r="AB286" s="145">
        <f>IF(ISBLANK(AB262),"",IF(ISERROR(VLOOKUP(AB262,PAPELERIA_PAPEL_Y_LÁPIZ,13,FALSE)),"El dato no existe",VLOOKUP(AB262,PAPELERIA_PAPEL_Y_LÁPIZ,13,FALSE)))</f>
        <v>232800</v>
      </c>
      <c r="AC286" s="145"/>
      <c r="AD286" s="145"/>
      <c r="AE286" s="146"/>
    </row>
    <row r="287" spans="1:31" x14ac:dyDescent="0.25">
      <c r="A287" s="132"/>
      <c r="B287" s="133"/>
      <c r="C287" s="138"/>
      <c r="D287" s="139"/>
      <c r="E287" s="140"/>
      <c r="F287" s="141"/>
      <c r="G287" s="141"/>
      <c r="H287" s="141"/>
      <c r="I287" s="142"/>
      <c r="L287" s="132"/>
      <c r="M287" s="133"/>
      <c r="N287" s="138"/>
      <c r="O287" s="139"/>
      <c r="P287" s="140"/>
      <c r="Q287" s="141"/>
      <c r="R287" s="141"/>
      <c r="S287" s="141"/>
      <c r="T287" s="142"/>
      <c r="W287" s="132"/>
      <c r="X287" s="133"/>
      <c r="Y287" s="138"/>
      <c r="Z287" s="139"/>
      <c r="AA287" s="140"/>
      <c r="AB287" s="141"/>
      <c r="AC287" s="141"/>
      <c r="AD287" s="141"/>
      <c r="AE287" s="142"/>
    </row>
    <row r="288" spans="1:31" x14ac:dyDescent="0.25">
      <c r="A288" s="134"/>
      <c r="B288" s="135"/>
      <c r="C288" s="143" t="s">
        <v>87</v>
      </c>
      <c r="D288" s="144"/>
      <c r="E288" s="56"/>
      <c r="F288" s="145">
        <f>IF(ISBLANK(F262),"",IF(ISERROR(VLOOKUP(F262,PAPELERIA_PAPEL_Y_LÁPIZ,16,FALSE)),"El dato no existe",VLOOKUP(F262,PAPELERIA_PAPEL_Y_LÁPIZ,16,FALSE)))</f>
        <v>1380510.075</v>
      </c>
      <c r="G288" s="145"/>
      <c r="H288" s="145"/>
      <c r="I288" s="146"/>
      <c r="L288" s="134"/>
      <c r="M288" s="135"/>
      <c r="N288" s="143" t="s">
        <v>87</v>
      </c>
      <c r="O288" s="144"/>
      <c r="P288" s="56"/>
      <c r="Q288" s="145">
        <f>IF(ISBLANK(Q262),"",IF(ISERROR(VLOOKUP(Q262,PAPELERIA_PAPEL_Y_LÁPIZ,16,FALSE)),"El dato no existe",VLOOKUP(Q262,PAPELERIA_PAPEL_Y_LÁPIZ,16,FALSE)))</f>
        <v>172816.875</v>
      </c>
      <c r="R288" s="145"/>
      <c r="S288" s="145"/>
      <c r="T288" s="146"/>
      <c r="W288" s="134"/>
      <c r="X288" s="135"/>
      <c r="Y288" s="143" t="s">
        <v>87</v>
      </c>
      <c r="Z288" s="144"/>
      <c r="AA288" s="56"/>
      <c r="AB288" s="145">
        <f>IF(ISBLANK(AB262),"",IF(ISERROR(VLOOKUP(AB262,PAPELERIA_PAPEL_Y_LÁPIZ,16,FALSE)),"El dato no existe",VLOOKUP(AB262,PAPELERIA_PAPEL_Y_LÁPIZ,16,FALSE)))</f>
        <v>268884</v>
      </c>
      <c r="AC288" s="145"/>
      <c r="AD288" s="145"/>
      <c r="AE288" s="146"/>
    </row>
  </sheetData>
  <sheetProtection password="C09A" sheet="1" objects="1" scenarios="1"/>
  <mergeCells count="2100">
    <mergeCell ref="X284:AA284"/>
    <mergeCell ref="AB284:AC284"/>
    <mergeCell ref="AD284:AE284"/>
    <mergeCell ref="W285:AE285"/>
    <mergeCell ref="W286:X288"/>
    <mergeCell ref="Y286:Z287"/>
    <mergeCell ref="AB286:AE286"/>
    <mergeCell ref="AA287:AE287"/>
    <mergeCell ref="Y288:Z288"/>
    <mergeCell ref="AB288:AE288"/>
    <mergeCell ref="X282:AA282"/>
    <mergeCell ref="AB282:AC282"/>
    <mergeCell ref="AD282:AE282"/>
    <mergeCell ref="X283:AA283"/>
    <mergeCell ref="AB283:AC283"/>
    <mergeCell ref="AD283:AE283"/>
    <mergeCell ref="X280:AA280"/>
    <mergeCell ref="AB280:AC280"/>
    <mergeCell ref="AD280:AE280"/>
    <mergeCell ref="X281:AA281"/>
    <mergeCell ref="AB281:AC281"/>
    <mergeCell ref="AD281:AE281"/>
    <mergeCell ref="X278:AA278"/>
    <mergeCell ref="AB278:AC278"/>
    <mergeCell ref="AD278:AE278"/>
    <mergeCell ref="X279:AA279"/>
    <mergeCell ref="AB279:AC279"/>
    <mergeCell ref="AD279:AE279"/>
    <mergeCell ref="X276:AA276"/>
    <mergeCell ref="AB276:AC276"/>
    <mergeCell ref="AD276:AE276"/>
    <mergeCell ref="X277:AA277"/>
    <mergeCell ref="AB277:AC277"/>
    <mergeCell ref="AD277:AE277"/>
    <mergeCell ref="X274:AA274"/>
    <mergeCell ref="AB274:AC274"/>
    <mergeCell ref="AD274:AE274"/>
    <mergeCell ref="X275:AA275"/>
    <mergeCell ref="AB275:AC275"/>
    <mergeCell ref="AD275:AE275"/>
    <mergeCell ref="X272:AA272"/>
    <mergeCell ref="AB272:AC272"/>
    <mergeCell ref="AD272:AE272"/>
    <mergeCell ref="X273:AA273"/>
    <mergeCell ref="AB273:AC273"/>
    <mergeCell ref="AD273:AE273"/>
    <mergeCell ref="X270:AA270"/>
    <mergeCell ref="AB270:AC270"/>
    <mergeCell ref="AD270:AE270"/>
    <mergeCell ref="X271:AA271"/>
    <mergeCell ref="AB271:AC271"/>
    <mergeCell ref="AD271:AE271"/>
    <mergeCell ref="X268:AA268"/>
    <mergeCell ref="AB268:AC268"/>
    <mergeCell ref="AD268:AE268"/>
    <mergeCell ref="X269:AA269"/>
    <mergeCell ref="AB269:AC269"/>
    <mergeCell ref="AD269:AE269"/>
    <mergeCell ref="X266:Y266"/>
    <mergeCell ref="AA266:AE266"/>
    <mergeCell ref="X267:Y267"/>
    <mergeCell ref="Z267:AA267"/>
    <mergeCell ref="AB267:AE267"/>
    <mergeCell ref="W262:Z263"/>
    <mergeCell ref="AA262:AA263"/>
    <mergeCell ref="AB262:AE263"/>
    <mergeCell ref="W264:W265"/>
    <mergeCell ref="X264:AA265"/>
    <mergeCell ref="AB264:AE264"/>
    <mergeCell ref="AB265:AC265"/>
    <mergeCell ref="M284:P284"/>
    <mergeCell ref="Q284:R284"/>
    <mergeCell ref="S284:T284"/>
    <mergeCell ref="L285:T285"/>
    <mergeCell ref="L286:M288"/>
    <mergeCell ref="N286:O287"/>
    <mergeCell ref="Q286:T286"/>
    <mergeCell ref="P287:T287"/>
    <mergeCell ref="N288:O288"/>
    <mergeCell ref="Q288:T288"/>
    <mergeCell ref="M282:P282"/>
    <mergeCell ref="Q282:R282"/>
    <mergeCell ref="S282:T282"/>
    <mergeCell ref="M283:P283"/>
    <mergeCell ref="Q283:R283"/>
    <mergeCell ref="S283:T283"/>
    <mergeCell ref="M280:P280"/>
    <mergeCell ref="Q280:R280"/>
    <mergeCell ref="S280:T280"/>
    <mergeCell ref="M281:P281"/>
    <mergeCell ref="Q271:R271"/>
    <mergeCell ref="S271:T271"/>
    <mergeCell ref="M268:P268"/>
    <mergeCell ref="Q268:R268"/>
    <mergeCell ref="S268:T268"/>
    <mergeCell ref="M269:P269"/>
    <mergeCell ref="Q269:R269"/>
    <mergeCell ref="S269:T269"/>
    <mergeCell ref="Q281:R281"/>
    <mergeCell ref="S281:T281"/>
    <mergeCell ref="M278:P278"/>
    <mergeCell ref="Q278:R278"/>
    <mergeCell ref="S278:T278"/>
    <mergeCell ref="M279:P279"/>
    <mergeCell ref="Q279:R279"/>
    <mergeCell ref="S279:T279"/>
    <mergeCell ref="M276:P276"/>
    <mergeCell ref="Q276:R276"/>
    <mergeCell ref="S276:T276"/>
    <mergeCell ref="M277:P277"/>
    <mergeCell ref="Q277:R277"/>
    <mergeCell ref="S277:T277"/>
    <mergeCell ref="M274:P274"/>
    <mergeCell ref="Q274:R274"/>
    <mergeCell ref="S274:T274"/>
    <mergeCell ref="M275:P275"/>
    <mergeCell ref="Q275:R275"/>
    <mergeCell ref="S275:T275"/>
    <mergeCell ref="Q264:T264"/>
    <mergeCell ref="Q265:R265"/>
    <mergeCell ref="B284:E284"/>
    <mergeCell ref="F284:G284"/>
    <mergeCell ref="H284:I284"/>
    <mergeCell ref="A285:I285"/>
    <mergeCell ref="A286:B288"/>
    <mergeCell ref="C286:D287"/>
    <mergeCell ref="F286:I286"/>
    <mergeCell ref="E287:I287"/>
    <mergeCell ref="C288:D288"/>
    <mergeCell ref="F288:I288"/>
    <mergeCell ref="B282:E282"/>
    <mergeCell ref="F282:G282"/>
    <mergeCell ref="H282:I282"/>
    <mergeCell ref="B283:E283"/>
    <mergeCell ref="F283:G283"/>
    <mergeCell ref="H283:I283"/>
    <mergeCell ref="B280:E280"/>
    <mergeCell ref="F280:G280"/>
    <mergeCell ref="H280:I280"/>
    <mergeCell ref="B281:E281"/>
    <mergeCell ref="M272:P272"/>
    <mergeCell ref="Q272:R272"/>
    <mergeCell ref="S272:T272"/>
    <mergeCell ref="M273:P273"/>
    <mergeCell ref="Q273:R273"/>
    <mergeCell ref="S273:T273"/>
    <mergeCell ref="M270:P270"/>
    <mergeCell ref="Q270:R270"/>
    <mergeCell ref="S270:T270"/>
    <mergeCell ref="M271:P271"/>
    <mergeCell ref="F281:G281"/>
    <mergeCell ref="H281:I281"/>
    <mergeCell ref="B278:E278"/>
    <mergeCell ref="F278:G278"/>
    <mergeCell ref="H278:I278"/>
    <mergeCell ref="B279:E279"/>
    <mergeCell ref="F279:G279"/>
    <mergeCell ref="H279:I279"/>
    <mergeCell ref="B276:E276"/>
    <mergeCell ref="F276:G276"/>
    <mergeCell ref="H276:I276"/>
    <mergeCell ref="B277:E277"/>
    <mergeCell ref="F277:G277"/>
    <mergeCell ref="H277:I277"/>
    <mergeCell ref="B274:E274"/>
    <mergeCell ref="F274:G274"/>
    <mergeCell ref="H274:I274"/>
    <mergeCell ref="B275:E275"/>
    <mergeCell ref="F275:G275"/>
    <mergeCell ref="H275:I275"/>
    <mergeCell ref="B272:E272"/>
    <mergeCell ref="F272:G272"/>
    <mergeCell ref="H272:I272"/>
    <mergeCell ref="B273:E273"/>
    <mergeCell ref="F273:G273"/>
    <mergeCell ref="H273:I273"/>
    <mergeCell ref="B270:E270"/>
    <mergeCell ref="F270:G270"/>
    <mergeCell ref="H270:I270"/>
    <mergeCell ref="B271:E271"/>
    <mergeCell ref="F271:G271"/>
    <mergeCell ref="H271:I271"/>
    <mergeCell ref="B268:E268"/>
    <mergeCell ref="F268:G268"/>
    <mergeCell ref="H268:I268"/>
    <mergeCell ref="B269:E269"/>
    <mergeCell ref="F269:G269"/>
    <mergeCell ref="H269:I269"/>
    <mergeCell ref="B266:C266"/>
    <mergeCell ref="E266:I266"/>
    <mergeCell ref="B267:C267"/>
    <mergeCell ref="D267:E267"/>
    <mergeCell ref="F267:I267"/>
    <mergeCell ref="A262:D263"/>
    <mergeCell ref="E262:E263"/>
    <mergeCell ref="F262:I263"/>
    <mergeCell ref="A264:A265"/>
    <mergeCell ref="B264:E265"/>
    <mergeCell ref="F264:I264"/>
    <mergeCell ref="F265:G265"/>
    <mergeCell ref="X255:AA255"/>
    <mergeCell ref="AB255:AC255"/>
    <mergeCell ref="AD255:AE255"/>
    <mergeCell ref="W256:AE256"/>
    <mergeCell ref="W257:X259"/>
    <mergeCell ref="Y257:Z258"/>
    <mergeCell ref="AB257:AE257"/>
    <mergeCell ref="AA258:AE258"/>
    <mergeCell ref="Y259:Z259"/>
    <mergeCell ref="AB259:AE259"/>
    <mergeCell ref="M266:N266"/>
    <mergeCell ref="P266:T266"/>
    <mergeCell ref="M267:N267"/>
    <mergeCell ref="O267:P267"/>
    <mergeCell ref="Q267:T267"/>
    <mergeCell ref="L262:O263"/>
    <mergeCell ref="P262:P263"/>
    <mergeCell ref="Q262:T263"/>
    <mergeCell ref="L264:L265"/>
    <mergeCell ref="M264:P265"/>
    <mergeCell ref="X253:AA253"/>
    <mergeCell ref="AB253:AC253"/>
    <mergeCell ref="AD253:AE253"/>
    <mergeCell ref="X254:AA254"/>
    <mergeCell ref="AB254:AC254"/>
    <mergeCell ref="AD254:AE254"/>
    <mergeCell ref="X251:AA251"/>
    <mergeCell ref="AB251:AC251"/>
    <mergeCell ref="AD251:AE251"/>
    <mergeCell ref="X252:AA252"/>
    <mergeCell ref="AB252:AC252"/>
    <mergeCell ref="AD252:AE252"/>
    <mergeCell ref="X249:AA249"/>
    <mergeCell ref="AB249:AC249"/>
    <mergeCell ref="AD249:AE249"/>
    <mergeCell ref="X250:AA250"/>
    <mergeCell ref="AB250:AC250"/>
    <mergeCell ref="AD250:AE250"/>
    <mergeCell ref="X247:AA247"/>
    <mergeCell ref="AB247:AC247"/>
    <mergeCell ref="AD247:AE247"/>
    <mergeCell ref="X248:AA248"/>
    <mergeCell ref="AB248:AC248"/>
    <mergeCell ref="AD248:AE248"/>
    <mergeCell ref="X245:AA245"/>
    <mergeCell ref="AB245:AC245"/>
    <mergeCell ref="AD245:AE245"/>
    <mergeCell ref="X246:AA246"/>
    <mergeCell ref="AB246:AC246"/>
    <mergeCell ref="AD246:AE246"/>
    <mergeCell ref="X243:AA243"/>
    <mergeCell ref="AB243:AC243"/>
    <mergeCell ref="AD243:AE243"/>
    <mergeCell ref="X244:AA244"/>
    <mergeCell ref="AB244:AC244"/>
    <mergeCell ref="AD244:AE244"/>
    <mergeCell ref="X241:AA241"/>
    <mergeCell ref="AB241:AC241"/>
    <mergeCell ref="AD241:AE241"/>
    <mergeCell ref="X242:AA242"/>
    <mergeCell ref="AB242:AC242"/>
    <mergeCell ref="AD242:AE242"/>
    <mergeCell ref="X239:AA239"/>
    <mergeCell ref="AB239:AC239"/>
    <mergeCell ref="AD239:AE239"/>
    <mergeCell ref="X240:AA240"/>
    <mergeCell ref="AB240:AC240"/>
    <mergeCell ref="AD240:AE240"/>
    <mergeCell ref="X237:Y237"/>
    <mergeCell ref="AA237:AE237"/>
    <mergeCell ref="X238:Y238"/>
    <mergeCell ref="Z238:AA238"/>
    <mergeCell ref="AB238:AE238"/>
    <mergeCell ref="M255:P255"/>
    <mergeCell ref="Q255:R255"/>
    <mergeCell ref="S255:T255"/>
    <mergeCell ref="L256:T256"/>
    <mergeCell ref="L257:M259"/>
    <mergeCell ref="N257:O258"/>
    <mergeCell ref="Q257:T257"/>
    <mergeCell ref="P258:T258"/>
    <mergeCell ref="N259:O259"/>
    <mergeCell ref="Q259:T259"/>
    <mergeCell ref="M253:P253"/>
    <mergeCell ref="Q253:R253"/>
    <mergeCell ref="S253:T253"/>
    <mergeCell ref="M254:P254"/>
    <mergeCell ref="Q254:R254"/>
    <mergeCell ref="S254:T254"/>
    <mergeCell ref="M251:P251"/>
    <mergeCell ref="Q251:R251"/>
    <mergeCell ref="S251:T251"/>
    <mergeCell ref="M252:P252"/>
    <mergeCell ref="Q252:R252"/>
    <mergeCell ref="S252:T252"/>
    <mergeCell ref="M250:P250"/>
    <mergeCell ref="Q250:R250"/>
    <mergeCell ref="S250:T250"/>
    <mergeCell ref="M247:P247"/>
    <mergeCell ref="Q247:R247"/>
    <mergeCell ref="S247:T247"/>
    <mergeCell ref="M248:P248"/>
    <mergeCell ref="Q248:R248"/>
    <mergeCell ref="S248:T248"/>
    <mergeCell ref="M245:P245"/>
    <mergeCell ref="Q245:R245"/>
    <mergeCell ref="S245:T245"/>
    <mergeCell ref="M246:P246"/>
    <mergeCell ref="Q246:R246"/>
    <mergeCell ref="S246:T246"/>
    <mergeCell ref="M243:P243"/>
    <mergeCell ref="Q243:R243"/>
    <mergeCell ref="S243:T243"/>
    <mergeCell ref="M244:P244"/>
    <mergeCell ref="Q244:R244"/>
    <mergeCell ref="S244:T244"/>
    <mergeCell ref="M249:P249"/>
    <mergeCell ref="Q249:R249"/>
    <mergeCell ref="S249:T249"/>
    <mergeCell ref="M241:P241"/>
    <mergeCell ref="Q241:R241"/>
    <mergeCell ref="S241:T241"/>
    <mergeCell ref="M242:P242"/>
    <mergeCell ref="Q242:R242"/>
    <mergeCell ref="S242:T242"/>
    <mergeCell ref="M239:P239"/>
    <mergeCell ref="Q239:R239"/>
    <mergeCell ref="S239:T239"/>
    <mergeCell ref="M240:P240"/>
    <mergeCell ref="Q240:R240"/>
    <mergeCell ref="S240:T240"/>
    <mergeCell ref="M237:N237"/>
    <mergeCell ref="P237:T237"/>
    <mergeCell ref="M238:N238"/>
    <mergeCell ref="O238:P238"/>
    <mergeCell ref="Q238:T238"/>
    <mergeCell ref="B255:E255"/>
    <mergeCell ref="F255:G255"/>
    <mergeCell ref="H255:I255"/>
    <mergeCell ref="A256:I256"/>
    <mergeCell ref="A257:B259"/>
    <mergeCell ref="C257:D258"/>
    <mergeCell ref="F257:I257"/>
    <mergeCell ref="E258:I258"/>
    <mergeCell ref="C259:D259"/>
    <mergeCell ref="F259:I259"/>
    <mergeCell ref="B253:E253"/>
    <mergeCell ref="F253:G253"/>
    <mergeCell ref="H253:I253"/>
    <mergeCell ref="B254:E254"/>
    <mergeCell ref="F254:G254"/>
    <mergeCell ref="H254:I254"/>
    <mergeCell ref="B251:E251"/>
    <mergeCell ref="F251:G251"/>
    <mergeCell ref="H251:I251"/>
    <mergeCell ref="B252:E252"/>
    <mergeCell ref="F252:G252"/>
    <mergeCell ref="H252:I252"/>
    <mergeCell ref="B250:E250"/>
    <mergeCell ref="F250:G250"/>
    <mergeCell ref="H250:I250"/>
    <mergeCell ref="B247:E247"/>
    <mergeCell ref="F247:G247"/>
    <mergeCell ref="H247:I247"/>
    <mergeCell ref="B248:E248"/>
    <mergeCell ref="F248:G248"/>
    <mergeCell ref="H248:I248"/>
    <mergeCell ref="B245:E245"/>
    <mergeCell ref="F245:G245"/>
    <mergeCell ref="H245:I245"/>
    <mergeCell ref="B246:E246"/>
    <mergeCell ref="F246:G246"/>
    <mergeCell ref="H246:I246"/>
    <mergeCell ref="B243:E243"/>
    <mergeCell ref="F243:G243"/>
    <mergeCell ref="H243:I243"/>
    <mergeCell ref="B244:E244"/>
    <mergeCell ref="F244:G244"/>
    <mergeCell ref="H244:I244"/>
    <mergeCell ref="B249:E249"/>
    <mergeCell ref="F249:G249"/>
    <mergeCell ref="H249:I249"/>
    <mergeCell ref="B241:E241"/>
    <mergeCell ref="F241:G241"/>
    <mergeCell ref="H241:I241"/>
    <mergeCell ref="B242:E242"/>
    <mergeCell ref="F242:G242"/>
    <mergeCell ref="H242:I242"/>
    <mergeCell ref="B239:E239"/>
    <mergeCell ref="F239:G239"/>
    <mergeCell ref="H239:I239"/>
    <mergeCell ref="B240:E240"/>
    <mergeCell ref="F240:G240"/>
    <mergeCell ref="H240:I240"/>
    <mergeCell ref="B237:C237"/>
    <mergeCell ref="E237:I237"/>
    <mergeCell ref="B238:C238"/>
    <mergeCell ref="D238:E238"/>
    <mergeCell ref="F238:I238"/>
    <mergeCell ref="A233:D234"/>
    <mergeCell ref="E233:E234"/>
    <mergeCell ref="F233:I234"/>
    <mergeCell ref="A235:A236"/>
    <mergeCell ref="B235:E236"/>
    <mergeCell ref="F235:I235"/>
    <mergeCell ref="F236:G236"/>
    <mergeCell ref="X226:AA226"/>
    <mergeCell ref="AB226:AC226"/>
    <mergeCell ref="AD226:AE226"/>
    <mergeCell ref="W227:AE227"/>
    <mergeCell ref="W228:X230"/>
    <mergeCell ref="Y228:Z229"/>
    <mergeCell ref="AB228:AE228"/>
    <mergeCell ref="AA229:AE229"/>
    <mergeCell ref="Y230:Z230"/>
    <mergeCell ref="AB230:AE230"/>
    <mergeCell ref="L233:O234"/>
    <mergeCell ref="P233:P234"/>
    <mergeCell ref="Q233:T234"/>
    <mergeCell ref="L235:L236"/>
    <mergeCell ref="M235:P236"/>
    <mergeCell ref="Q235:T235"/>
    <mergeCell ref="Q236:R236"/>
    <mergeCell ref="W233:Z234"/>
    <mergeCell ref="AA233:AA234"/>
    <mergeCell ref="AB233:AE234"/>
    <mergeCell ref="W235:W236"/>
    <mergeCell ref="X235:AA236"/>
    <mergeCell ref="AB235:AE235"/>
    <mergeCell ref="AB236:AC236"/>
    <mergeCell ref="X224:AA224"/>
    <mergeCell ref="AB224:AC224"/>
    <mergeCell ref="AD224:AE224"/>
    <mergeCell ref="X225:AA225"/>
    <mergeCell ref="AB225:AC225"/>
    <mergeCell ref="AD225:AE225"/>
    <mergeCell ref="X222:AA222"/>
    <mergeCell ref="AB222:AC222"/>
    <mergeCell ref="AD222:AE222"/>
    <mergeCell ref="X223:AA223"/>
    <mergeCell ref="AB223:AC223"/>
    <mergeCell ref="AD223:AE223"/>
    <mergeCell ref="X220:AA220"/>
    <mergeCell ref="AB220:AC220"/>
    <mergeCell ref="AD220:AE220"/>
    <mergeCell ref="X221:AA221"/>
    <mergeCell ref="AB221:AC221"/>
    <mergeCell ref="AD221:AE221"/>
    <mergeCell ref="X218:AA218"/>
    <mergeCell ref="AB218:AC218"/>
    <mergeCell ref="AD218:AE218"/>
    <mergeCell ref="X219:AA219"/>
    <mergeCell ref="AB219:AC219"/>
    <mergeCell ref="AD219:AE219"/>
    <mergeCell ref="X216:AA216"/>
    <mergeCell ref="AB216:AC216"/>
    <mergeCell ref="AD216:AE216"/>
    <mergeCell ref="X217:AA217"/>
    <mergeCell ref="AB217:AC217"/>
    <mergeCell ref="AD217:AE217"/>
    <mergeCell ref="X214:AA214"/>
    <mergeCell ref="AB214:AC214"/>
    <mergeCell ref="AD214:AE214"/>
    <mergeCell ref="X215:AA215"/>
    <mergeCell ref="AB215:AC215"/>
    <mergeCell ref="AD215:AE215"/>
    <mergeCell ref="X212:AA212"/>
    <mergeCell ref="AB212:AC212"/>
    <mergeCell ref="AD212:AE212"/>
    <mergeCell ref="X213:AA213"/>
    <mergeCell ref="AB213:AC213"/>
    <mergeCell ref="AD213:AE213"/>
    <mergeCell ref="X210:AA210"/>
    <mergeCell ref="AB210:AC210"/>
    <mergeCell ref="AD210:AE210"/>
    <mergeCell ref="X211:AA211"/>
    <mergeCell ref="AB211:AC211"/>
    <mergeCell ref="AD211:AE211"/>
    <mergeCell ref="X208:Y208"/>
    <mergeCell ref="AA208:AE208"/>
    <mergeCell ref="X209:Y209"/>
    <mergeCell ref="Z209:AA209"/>
    <mergeCell ref="AB209:AE209"/>
    <mergeCell ref="W204:Z205"/>
    <mergeCell ref="AA204:AA205"/>
    <mergeCell ref="AB204:AE205"/>
    <mergeCell ref="W206:W207"/>
    <mergeCell ref="X206:AA207"/>
    <mergeCell ref="AB206:AE206"/>
    <mergeCell ref="AB207:AC207"/>
    <mergeCell ref="X197:AA197"/>
    <mergeCell ref="AB197:AC197"/>
    <mergeCell ref="AD197:AE197"/>
    <mergeCell ref="W198:AE198"/>
    <mergeCell ref="W199:X201"/>
    <mergeCell ref="Y199:Z200"/>
    <mergeCell ref="AB199:AE199"/>
    <mergeCell ref="AA200:AE200"/>
    <mergeCell ref="Y201:Z201"/>
    <mergeCell ref="AB201:AE201"/>
    <mergeCell ref="X195:AA195"/>
    <mergeCell ref="AB195:AC195"/>
    <mergeCell ref="AD195:AE195"/>
    <mergeCell ref="X196:AA196"/>
    <mergeCell ref="AB196:AC196"/>
    <mergeCell ref="AD196:AE196"/>
    <mergeCell ref="X193:AA193"/>
    <mergeCell ref="AB193:AC193"/>
    <mergeCell ref="AD193:AE193"/>
    <mergeCell ref="X194:AA194"/>
    <mergeCell ref="AB194:AC194"/>
    <mergeCell ref="AD194:AE194"/>
    <mergeCell ref="X191:AA191"/>
    <mergeCell ref="AB191:AC191"/>
    <mergeCell ref="AD191:AE191"/>
    <mergeCell ref="X192:AA192"/>
    <mergeCell ref="AB192:AC192"/>
    <mergeCell ref="AD192:AE192"/>
    <mergeCell ref="X189:AA189"/>
    <mergeCell ref="AB189:AC189"/>
    <mergeCell ref="AD189:AE189"/>
    <mergeCell ref="X190:AA190"/>
    <mergeCell ref="AB190:AC190"/>
    <mergeCell ref="AD190:AE190"/>
    <mergeCell ref="X187:AA187"/>
    <mergeCell ref="AB187:AC187"/>
    <mergeCell ref="AD187:AE187"/>
    <mergeCell ref="X188:AA188"/>
    <mergeCell ref="AB188:AC188"/>
    <mergeCell ref="AD188:AE188"/>
    <mergeCell ref="X185:AA185"/>
    <mergeCell ref="AB185:AC185"/>
    <mergeCell ref="AD185:AE185"/>
    <mergeCell ref="X186:AA186"/>
    <mergeCell ref="AB186:AC186"/>
    <mergeCell ref="AD186:AE186"/>
    <mergeCell ref="X183:AA183"/>
    <mergeCell ref="AB183:AC183"/>
    <mergeCell ref="AD183:AE183"/>
    <mergeCell ref="X184:AA184"/>
    <mergeCell ref="AB184:AC184"/>
    <mergeCell ref="AD184:AE184"/>
    <mergeCell ref="X181:AA181"/>
    <mergeCell ref="AB181:AC181"/>
    <mergeCell ref="AD181:AE181"/>
    <mergeCell ref="X182:AA182"/>
    <mergeCell ref="AB182:AC182"/>
    <mergeCell ref="AD182:AE182"/>
    <mergeCell ref="X179:Y179"/>
    <mergeCell ref="AA179:AE179"/>
    <mergeCell ref="X180:Y180"/>
    <mergeCell ref="Z180:AA180"/>
    <mergeCell ref="AB180:AE180"/>
    <mergeCell ref="W175:Z176"/>
    <mergeCell ref="AA175:AA176"/>
    <mergeCell ref="AB175:AE176"/>
    <mergeCell ref="W177:W178"/>
    <mergeCell ref="X177:AA178"/>
    <mergeCell ref="AB177:AE177"/>
    <mergeCell ref="AB178:AC178"/>
    <mergeCell ref="X168:AA168"/>
    <mergeCell ref="AB168:AC168"/>
    <mergeCell ref="AD168:AE168"/>
    <mergeCell ref="W169:AE169"/>
    <mergeCell ref="W170:X172"/>
    <mergeCell ref="Y170:Z171"/>
    <mergeCell ref="AB170:AE170"/>
    <mergeCell ref="AA171:AE171"/>
    <mergeCell ref="Y172:Z172"/>
    <mergeCell ref="AB172:AE172"/>
    <mergeCell ref="X166:AA166"/>
    <mergeCell ref="AB166:AC166"/>
    <mergeCell ref="AD166:AE166"/>
    <mergeCell ref="X167:AA167"/>
    <mergeCell ref="AB167:AC167"/>
    <mergeCell ref="AD167:AE167"/>
    <mergeCell ref="X164:AA164"/>
    <mergeCell ref="AB164:AC164"/>
    <mergeCell ref="AD164:AE164"/>
    <mergeCell ref="X165:AA165"/>
    <mergeCell ref="AB165:AC165"/>
    <mergeCell ref="AD165:AE165"/>
    <mergeCell ref="X162:AA162"/>
    <mergeCell ref="AB162:AC162"/>
    <mergeCell ref="AD162:AE162"/>
    <mergeCell ref="X163:AA163"/>
    <mergeCell ref="AB163:AC163"/>
    <mergeCell ref="AD163:AE163"/>
    <mergeCell ref="X160:AA160"/>
    <mergeCell ref="AB160:AC160"/>
    <mergeCell ref="AD160:AE160"/>
    <mergeCell ref="X161:AA161"/>
    <mergeCell ref="AB161:AC161"/>
    <mergeCell ref="AD161:AE161"/>
    <mergeCell ref="X158:AA158"/>
    <mergeCell ref="AB158:AC158"/>
    <mergeCell ref="AD158:AE158"/>
    <mergeCell ref="X159:AA159"/>
    <mergeCell ref="AB159:AC159"/>
    <mergeCell ref="AD159:AE159"/>
    <mergeCell ref="X156:AA156"/>
    <mergeCell ref="AB156:AC156"/>
    <mergeCell ref="AD156:AE156"/>
    <mergeCell ref="X157:AA157"/>
    <mergeCell ref="AB157:AC157"/>
    <mergeCell ref="AD157:AE157"/>
    <mergeCell ref="X154:AA154"/>
    <mergeCell ref="AB154:AC154"/>
    <mergeCell ref="AD154:AE154"/>
    <mergeCell ref="X155:AA155"/>
    <mergeCell ref="AB155:AC155"/>
    <mergeCell ref="AD155:AE155"/>
    <mergeCell ref="X152:AA152"/>
    <mergeCell ref="AB152:AC152"/>
    <mergeCell ref="AD152:AE152"/>
    <mergeCell ref="X153:AA153"/>
    <mergeCell ref="AB153:AC153"/>
    <mergeCell ref="AD153:AE153"/>
    <mergeCell ref="X150:Y150"/>
    <mergeCell ref="AA150:AE150"/>
    <mergeCell ref="X151:Y151"/>
    <mergeCell ref="Z151:AA151"/>
    <mergeCell ref="AB151:AE151"/>
    <mergeCell ref="W146:Z147"/>
    <mergeCell ref="AA146:AA147"/>
    <mergeCell ref="AB146:AE147"/>
    <mergeCell ref="W148:W149"/>
    <mergeCell ref="X148:AA149"/>
    <mergeCell ref="AB148:AE148"/>
    <mergeCell ref="AB149:AC149"/>
    <mergeCell ref="X139:AA139"/>
    <mergeCell ref="AB139:AC139"/>
    <mergeCell ref="AD139:AE139"/>
    <mergeCell ref="W140:AE140"/>
    <mergeCell ref="W141:X143"/>
    <mergeCell ref="Y141:Z142"/>
    <mergeCell ref="AB141:AE141"/>
    <mergeCell ref="AA142:AE142"/>
    <mergeCell ref="Y143:Z143"/>
    <mergeCell ref="AB143:AE143"/>
    <mergeCell ref="X137:AA137"/>
    <mergeCell ref="AB137:AC137"/>
    <mergeCell ref="AD137:AE137"/>
    <mergeCell ref="X138:AA138"/>
    <mergeCell ref="AB138:AC138"/>
    <mergeCell ref="AD138:AE138"/>
    <mergeCell ref="X135:AA135"/>
    <mergeCell ref="AB135:AC135"/>
    <mergeCell ref="AD135:AE135"/>
    <mergeCell ref="X136:AA136"/>
    <mergeCell ref="AB136:AC136"/>
    <mergeCell ref="AD136:AE136"/>
    <mergeCell ref="X133:AA133"/>
    <mergeCell ref="AB133:AC133"/>
    <mergeCell ref="AD133:AE133"/>
    <mergeCell ref="X134:AA134"/>
    <mergeCell ref="AB134:AC134"/>
    <mergeCell ref="AD134:AE134"/>
    <mergeCell ref="X131:AA131"/>
    <mergeCell ref="AB131:AC131"/>
    <mergeCell ref="AD131:AE131"/>
    <mergeCell ref="X132:AA132"/>
    <mergeCell ref="AB132:AC132"/>
    <mergeCell ref="AD132:AE132"/>
    <mergeCell ref="X129:AA129"/>
    <mergeCell ref="AB129:AC129"/>
    <mergeCell ref="AD129:AE129"/>
    <mergeCell ref="X130:AA130"/>
    <mergeCell ref="AB130:AC130"/>
    <mergeCell ref="AD130:AE130"/>
    <mergeCell ref="X127:AA127"/>
    <mergeCell ref="AB127:AC127"/>
    <mergeCell ref="AD127:AE127"/>
    <mergeCell ref="X128:AA128"/>
    <mergeCell ref="AB128:AC128"/>
    <mergeCell ref="AD128:AE128"/>
    <mergeCell ref="X125:AA125"/>
    <mergeCell ref="AB125:AC125"/>
    <mergeCell ref="AD125:AE125"/>
    <mergeCell ref="X126:AA126"/>
    <mergeCell ref="AB126:AC126"/>
    <mergeCell ref="AD126:AE126"/>
    <mergeCell ref="X123:AA123"/>
    <mergeCell ref="AB123:AC123"/>
    <mergeCell ref="AD123:AE123"/>
    <mergeCell ref="X124:AA124"/>
    <mergeCell ref="AB124:AC124"/>
    <mergeCell ref="AD124:AE124"/>
    <mergeCell ref="X121:Y121"/>
    <mergeCell ref="AA121:AE121"/>
    <mergeCell ref="X122:Y122"/>
    <mergeCell ref="Z122:AA122"/>
    <mergeCell ref="AB122:AE122"/>
    <mergeCell ref="W117:Z118"/>
    <mergeCell ref="AA117:AA118"/>
    <mergeCell ref="AB117:AE118"/>
    <mergeCell ref="W119:W120"/>
    <mergeCell ref="X119:AA120"/>
    <mergeCell ref="AB119:AE119"/>
    <mergeCell ref="AB120:AC120"/>
    <mergeCell ref="X110:AA110"/>
    <mergeCell ref="AB110:AC110"/>
    <mergeCell ref="AD110:AE110"/>
    <mergeCell ref="W111:AE111"/>
    <mergeCell ref="W112:X114"/>
    <mergeCell ref="Y112:Z113"/>
    <mergeCell ref="AB112:AE112"/>
    <mergeCell ref="AA113:AE113"/>
    <mergeCell ref="Y114:Z114"/>
    <mergeCell ref="AB114:AE114"/>
    <mergeCell ref="X108:AA108"/>
    <mergeCell ref="AB108:AC108"/>
    <mergeCell ref="AD108:AE108"/>
    <mergeCell ref="X109:AA109"/>
    <mergeCell ref="AB109:AC109"/>
    <mergeCell ref="AD109:AE109"/>
    <mergeCell ref="X106:AA106"/>
    <mergeCell ref="AB106:AC106"/>
    <mergeCell ref="AD106:AE106"/>
    <mergeCell ref="X107:AA107"/>
    <mergeCell ref="AB107:AC107"/>
    <mergeCell ref="AD107:AE107"/>
    <mergeCell ref="X104:AA104"/>
    <mergeCell ref="AB104:AC104"/>
    <mergeCell ref="AD104:AE104"/>
    <mergeCell ref="X105:AA105"/>
    <mergeCell ref="AB105:AC105"/>
    <mergeCell ref="AD105:AE105"/>
    <mergeCell ref="X102:AA102"/>
    <mergeCell ref="AB102:AC102"/>
    <mergeCell ref="AD102:AE102"/>
    <mergeCell ref="X103:AA103"/>
    <mergeCell ref="AB103:AC103"/>
    <mergeCell ref="AD103:AE103"/>
    <mergeCell ref="X100:AA100"/>
    <mergeCell ref="AB100:AC100"/>
    <mergeCell ref="AD100:AE100"/>
    <mergeCell ref="X101:AA101"/>
    <mergeCell ref="AB101:AC101"/>
    <mergeCell ref="AD101:AE101"/>
    <mergeCell ref="X98:AA98"/>
    <mergeCell ref="AB98:AC98"/>
    <mergeCell ref="AD98:AE98"/>
    <mergeCell ref="X99:AA99"/>
    <mergeCell ref="AB99:AC99"/>
    <mergeCell ref="AD99:AE99"/>
    <mergeCell ref="X96:AA96"/>
    <mergeCell ref="AB96:AC96"/>
    <mergeCell ref="AD96:AE96"/>
    <mergeCell ref="X97:AA97"/>
    <mergeCell ref="AB97:AC97"/>
    <mergeCell ref="AD97:AE97"/>
    <mergeCell ref="X94:AA94"/>
    <mergeCell ref="AB94:AC94"/>
    <mergeCell ref="AD94:AE94"/>
    <mergeCell ref="X95:AA95"/>
    <mergeCell ref="AB95:AC95"/>
    <mergeCell ref="AD95:AE95"/>
    <mergeCell ref="X92:Y92"/>
    <mergeCell ref="AA92:AE92"/>
    <mergeCell ref="X93:Y93"/>
    <mergeCell ref="Z93:AA93"/>
    <mergeCell ref="AB93:AE93"/>
    <mergeCell ref="W88:Z89"/>
    <mergeCell ref="AA88:AA89"/>
    <mergeCell ref="AB88:AE89"/>
    <mergeCell ref="W90:W91"/>
    <mergeCell ref="X90:AA91"/>
    <mergeCell ref="AB90:AE90"/>
    <mergeCell ref="AB91:AC91"/>
    <mergeCell ref="X81:AA81"/>
    <mergeCell ref="AB81:AC81"/>
    <mergeCell ref="AD81:AE81"/>
    <mergeCell ref="W82:AE82"/>
    <mergeCell ref="W83:X85"/>
    <mergeCell ref="Y83:Z84"/>
    <mergeCell ref="AB83:AE83"/>
    <mergeCell ref="AA84:AE84"/>
    <mergeCell ref="Y85:Z85"/>
    <mergeCell ref="AB85:AE85"/>
    <mergeCell ref="X79:AA79"/>
    <mergeCell ref="AB79:AC79"/>
    <mergeCell ref="AD79:AE79"/>
    <mergeCell ref="X80:AA80"/>
    <mergeCell ref="AB80:AC80"/>
    <mergeCell ref="AD80:AE80"/>
    <mergeCell ref="X77:AA77"/>
    <mergeCell ref="AB77:AC77"/>
    <mergeCell ref="AD77:AE77"/>
    <mergeCell ref="X78:AA78"/>
    <mergeCell ref="AB78:AC78"/>
    <mergeCell ref="AD78:AE78"/>
    <mergeCell ref="X75:AA75"/>
    <mergeCell ref="AB75:AC75"/>
    <mergeCell ref="AD75:AE75"/>
    <mergeCell ref="X76:AA76"/>
    <mergeCell ref="AB76:AC76"/>
    <mergeCell ref="AD76:AE76"/>
    <mergeCell ref="X73:AA73"/>
    <mergeCell ref="AB73:AC73"/>
    <mergeCell ref="AD73:AE73"/>
    <mergeCell ref="X74:AA74"/>
    <mergeCell ref="AB74:AC74"/>
    <mergeCell ref="AD74:AE74"/>
    <mergeCell ref="X71:AA71"/>
    <mergeCell ref="AB71:AC71"/>
    <mergeCell ref="AD71:AE71"/>
    <mergeCell ref="X72:AA72"/>
    <mergeCell ref="AB72:AC72"/>
    <mergeCell ref="AD72:AE72"/>
    <mergeCell ref="X69:AA69"/>
    <mergeCell ref="AB69:AC69"/>
    <mergeCell ref="AD69:AE69"/>
    <mergeCell ref="X70:AA70"/>
    <mergeCell ref="AB70:AC70"/>
    <mergeCell ref="AD70:AE70"/>
    <mergeCell ref="X67:AA67"/>
    <mergeCell ref="AB67:AC67"/>
    <mergeCell ref="AD67:AE67"/>
    <mergeCell ref="X68:AA68"/>
    <mergeCell ref="AB68:AC68"/>
    <mergeCell ref="AD68:AE68"/>
    <mergeCell ref="X65:AA65"/>
    <mergeCell ref="AB65:AC65"/>
    <mergeCell ref="AD65:AE65"/>
    <mergeCell ref="X66:AA66"/>
    <mergeCell ref="AB66:AC66"/>
    <mergeCell ref="AD66:AE66"/>
    <mergeCell ref="X63:Y63"/>
    <mergeCell ref="AA63:AE63"/>
    <mergeCell ref="X64:Y64"/>
    <mergeCell ref="Z64:AA64"/>
    <mergeCell ref="AB64:AE64"/>
    <mergeCell ref="W59:Z60"/>
    <mergeCell ref="AA59:AA60"/>
    <mergeCell ref="AB59:AE60"/>
    <mergeCell ref="W61:W62"/>
    <mergeCell ref="X61:AA62"/>
    <mergeCell ref="AB61:AE61"/>
    <mergeCell ref="AB62:AC62"/>
    <mergeCell ref="X52:AA52"/>
    <mergeCell ref="AB52:AC52"/>
    <mergeCell ref="AD52:AE52"/>
    <mergeCell ref="W53:AE53"/>
    <mergeCell ref="W54:X56"/>
    <mergeCell ref="Y54:Z55"/>
    <mergeCell ref="AB54:AE54"/>
    <mergeCell ref="AA55:AE55"/>
    <mergeCell ref="Y56:Z56"/>
    <mergeCell ref="AB56:AE56"/>
    <mergeCell ref="X50:AA50"/>
    <mergeCell ref="AB50:AC50"/>
    <mergeCell ref="AD50:AE50"/>
    <mergeCell ref="X51:AA51"/>
    <mergeCell ref="AB51:AC51"/>
    <mergeCell ref="AD51:AE51"/>
    <mergeCell ref="X48:AA48"/>
    <mergeCell ref="AB48:AC48"/>
    <mergeCell ref="AD48:AE48"/>
    <mergeCell ref="X49:AA49"/>
    <mergeCell ref="AB49:AC49"/>
    <mergeCell ref="AD49:AE49"/>
    <mergeCell ref="X46:AA46"/>
    <mergeCell ref="AB46:AC46"/>
    <mergeCell ref="AD46:AE46"/>
    <mergeCell ref="X47:AA47"/>
    <mergeCell ref="AB47:AC47"/>
    <mergeCell ref="AD47:AE47"/>
    <mergeCell ref="X44:AA44"/>
    <mergeCell ref="AB44:AC44"/>
    <mergeCell ref="AD44:AE44"/>
    <mergeCell ref="X45:AA45"/>
    <mergeCell ref="AB45:AC45"/>
    <mergeCell ref="AD45:AE45"/>
    <mergeCell ref="X42:AA42"/>
    <mergeCell ref="AB42:AC42"/>
    <mergeCell ref="AD42:AE42"/>
    <mergeCell ref="X43:AA43"/>
    <mergeCell ref="AB43:AC43"/>
    <mergeCell ref="AD43:AE43"/>
    <mergeCell ref="X40:AA40"/>
    <mergeCell ref="AB40:AC40"/>
    <mergeCell ref="AD40:AE40"/>
    <mergeCell ref="X41:AA41"/>
    <mergeCell ref="AB41:AC41"/>
    <mergeCell ref="AD41:AE41"/>
    <mergeCell ref="X38:AA38"/>
    <mergeCell ref="AB38:AC38"/>
    <mergeCell ref="AD38:AE38"/>
    <mergeCell ref="X39:AA39"/>
    <mergeCell ref="AB39:AC39"/>
    <mergeCell ref="AD39:AE39"/>
    <mergeCell ref="X36:AA36"/>
    <mergeCell ref="AB36:AC36"/>
    <mergeCell ref="AD36:AE36"/>
    <mergeCell ref="X37:AA37"/>
    <mergeCell ref="AB37:AC37"/>
    <mergeCell ref="AD37:AE37"/>
    <mergeCell ref="X34:Y34"/>
    <mergeCell ref="AA34:AE34"/>
    <mergeCell ref="X35:Y35"/>
    <mergeCell ref="Z35:AA35"/>
    <mergeCell ref="AB35:AE35"/>
    <mergeCell ref="W30:Z31"/>
    <mergeCell ref="AA30:AA31"/>
    <mergeCell ref="AB30:AE31"/>
    <mergeCell ref="W32:W33"/>
    <mergeCell ref="X32:AA33"/>
    <mergeCell ref="AB32:AE32"/>
    <mergeCell ref="AB33:AC33"/>
    <mergeCell ref="X23:AA23"/>
    <mergeCell ref="AB23:AC23"/>
    <mergeCell ref="AD23:AE23"/>
    <mergeCell ref="W24:AE24"/>
    <mergeCell ref="W25:X27"/>
    <mergeCell ref="Y25:Z26"/>
    <mergeCell ref="AB25:AE25"/>
    <mergeCell ref="AA26:AE26"/>
    <mergeCell ref="Y27:Z27"/>
    <mergeCell ref="AB27:AE27"/>
    <mergeCell ref="X21:AA21"/>
    <mergeCell ref="AB21:AC21"/>
    <mergeCell ref="AD21:AE21"/>
    <mergeCell ref="X22:AA22"/>
    <mergeCell ref="AB22:AC22"/>
    <mergeCell ref="AD22:AE22"/>
    <mergeCell ref="X19:AA19"/>
    <mergeCell ref="AB19:AC19"/>
    <mergeCell ref="AD19:AE19"/>
    <mergeCell ref="X20:AA20"/>
    <mergeCell ref="AB20:AC20"/>
    <mergeCell ref="AD20:AE20"/>
    <mergeCell ref="X17:AA17"/>
    <mergeCell ref="AB17:AC17"/>
    <mergeCell ref="AD17:AE17"/>
    <mergeCell ref="X18:AA18"/>
    <mergeCell ref="AB18:AC18"/>
    <mergeCell ref="AD18:AE18"/>
    <mergeCell ref="X15:AA15"/>
    <mergeCell ref="AB15:AC15"/>
    <mergeCell ref="AD15:AE15"/>
    <mergeCell ref="X16:AA16"/>
    <mergeCell ref="AB16:AC16"/>
    <mergeCell ref="AD16:AE16"/>
    <mergeCell ref="X13:AA13"/>
    <mergeCell ref="AB13:AC13"/>
    <mergeCell ref="AD13:AE13"/>
    <mergeCell ref="X14:AA14"/>
    <mergeCell ref="AB14:AC14"/>
    <mergeCell ref="AD14:AE14"/>
    <mergeCell ref="X11:AA11"/>
    <mergeCell ref="AB11:AC11"/>
    <mergeCell ref="AD11:AE11"/>
    <mergeCell ref="X12:AA12"/>
    <mergeCell ref="AB12:AC12"/>
    <mergeCell ref="AD12:AE12"/>
    <mergeCell ref="X9:AA9"/>
    <mergeCell ref="AB9:AC9"/>
    <mergeCell ref="AD9:AE9"/>
    <mergeCell ref="X10:AA10"/>
    <mergeCell ref="AB10:AC10"/>
    <mergeCell ref="AD10:AE10"/>
    <mergeCell ref="X7:AA7"/>
    <mergeCell ref="AB7:AC7"/>
    <mergeCell ref="AD7:AE7"/>
    <mergeCell ref="X8:AA8"/>
    <mergeCell ref="AB8:AC8"/>
    <mergeCell ref="AD8:AE8"/>
    <mergeCell ref="X5:Y5"/>
    <mergeCell ref="AA5:AE5"/>
    <mergeCell ref="X6:Y6"/>
    <mergeCell ref="Z6:AA6"/>
    <mergeCell ref="AB6:AE6"/>
    <mergeCell ref="W1:Z2"/>
    <mergeCell ref="AA1:AA2"/>
    <mergeCell ref="AB1:AE2"/>
    <mergeCell ref="W3:W4"/>
    <mergeCell ref="X3:AA4"/>
    <mergeCell ref="AB3:AE3"/>
    <mergeCell ref="AB4:AC4"/>
    <mergeCell ref="M226:P226"/>
    <mergeCell ref="Q226:R226"/>
    <mergeCell ref="S226:T226"/>
    <mergeCell ref="L227:T227"/>
    <mergeCell ref="L228:M230"/>
    <mergeCell ref="N228:O229"/>
    <mergeCell ref="Q228:T228"/>
    <mergeCell ref="P229:T229"/>
    <mergeCell ref="N230:O230"/>
    <mergeCell ref="Q230:T230"/>
    <mergeCell ref="M224:P224"/>
    <mergeCell ref="Q224:R224"/>
    <mergeCell ref="S224:T224"/>
    <mergeCell ref="M225:P225"/>
    <mergeCell ref="Q225:R225"/>
    <mergeCell ref="S225:T225"/>
    <mergeCell ref="M222:P222"/>
    <mergeCell ref="Q222:R222"/>
    <mergeCell ref="S222:T222"/>
    <mergeCell ref="M223:P223"/>
    <mergeCell ref="Q223:R223"/>
    <mergeCell ref="S223:T223"/>
    <mergeCell ref="M220:P220"/>
    <mergeCell ref="Q220:R220"/>
    <mergeCell ref="S220:T220"/>
    <mergeCell ref="M221:P221"/>
    <mergeCell ref="Q221:R221"/>
    <mergeCell ref="S221:T221"/>
    <mergeCell ref="M218:P218"/>
    <mergeCell ref="Q218:R218"/>
    <mergeCell ref="S218:T218"/>
    <mergeCell ref="M219:P219"/>
    <mergeCell ref="Q219:R219"/>
    <mergeCell ref="S219:T219"/>
    <mergeCell ref="M216:P216"/>
    <mergeCell ref="Q216:R216"/>
    <mergeCell ref="S216:T216"/>
    <mergeCell ref="M217:P217"/>
    <mergeCell ref="Q217:R217"/>
    <mergeCell ref="S217:T217"/>
    <mergeCell ref="M214:P214"/>
    <mergeCell ref="Q214:R214"/>
    <mergeCell ref="S214:T214"/>
    <mergeCell ref="M215:P215"/>
    <mergeCell ref="Q215:R215"/>
    <mergeCell ref="S215:T215"/>
    <mergeCell ref="M212:P212"/>
    <mergeCell ref="Q212:R212"/>
    <mergeCell ref="S212:T212"/>
    <mergeCell ref="M213:P213"/>
    <mergeCell ref="Q213:R213"/>
    <mergeCell ref="S213:T213"/>
    <mergeCell ref="M210:P210"/>
    <mergeCell ref="Q210:R210"/>
    <mergeCell ref="S210:T210"/>
    <mergeCell ref="M211:P211"/>
    <mergeCell ref="Q211:R211"/>
    <mergeCell ref="S211:T211"/>
    <mergeCell ref="M208:N208"/>
    <mergeCell ref="P208:T208"/>
    <mergeCell ref="M209:N209"/>
    <mergeCell ref="O209:P209"/>
    <mergeCell ref="Q209:T209"/>
    <mergeCell ref="B226:E226"/>
    <mergeCell ref="F226:G226"/>
    <mergeCell ref="H226:I226"/>
    <mergeCell ref="A227:I227"/>
    <mergeCell ref="A228:B230"/>
    <mergeCell ref="C228:D229"/>
    <mergeCell ref="F228:I228"/>
    <mergeCell ref="E229:I229"/>
    <mergeCell ref="C230:D230"/>
    <mergeCell ref="F230:I230"/>
    <mergeCell ref="B224:E224"/>
    <mergeCell ref="F224:G224"/>
    <mergeCell ref="H224:I224"/>
    <mergeCell ref="B225:E225"/>
    <mergeCell ref="F225:G225"/>
    <mergeCell ref="H225:I225"/>
    <mergeCell ref="B222:E222"/>
    <mergeCell ref="F222:G222"/>
    <mergeCell ref="H222:I222"/>
    <mergeCell ref="B223:E223"/>
    <mergeCell ref="F223:G223"/>
    <mergeCell ref="H223:I223"/>
    <mergeCell ref="B221:E221"/>
    <mergeCell ref="F221:G221"/>
    <mergeCell ref="H221:I221"/>
    <mergeCell ref="B218:E218"/>
    <mergeCell ref="F218:G218"/>
    <mergeCell ref="H218:I218"/>
    <mergeCell ref="B219:E219"/>
    <mergeCell ref="F219:G219"/>
    <mergeCell ref="H219:I219"/>
    <mergeCell ref="B216:E216"/>
    <mergeCell ref="F216:G216"/>
    <mergeCell ref="H216:I216"/>
    <mergeCell ref="B217:E217"/>
    <mergeCell ref="F217:G217"/>
    <mergeCell ref="H217:I217"/>
    <mergeCell ref="B214:E214"/>
    <mergeCell ref="F214:G214"/>
    <mergeCell ref="H214:I214"/>
    <mergeCell ref="B215:E215"/>
    <mergeCell ref="F215:G215"/>
    <mergeCell ref="H215:I215"/>
    <mergeCell ref="B220:E220"/>
    <mergeCell ref="F220:G220"/>
    <mergeCell ref="H220:I220"/>
    <mergeCell ref="B212:E212"/>
    <mergeCell ref="F212:G212"/>
    <mergeCell ref="H212:I212"/>
    <mergeCell ref="B213:E213"/>
    <mergeCell ref="F213:G213"/>
    <mergeCell ref="H213:I213"/>
    <mergeCell ref="B210:E210"/>
    <mergeCell ref="F210:G210"/>
    <mergeCell ref="H210:I210"/>
    <mergeCell ref="B211:E211"/>
    <mergeCell ref="F211:G211"/>
    <mergeCell ref="H211:I211"/>
    <mergeCell ref="B208:C208"/>
    <mergeCell ref="E208:I208"/>
    <mergeCell ref="B209:C209"/>
    <mergeCell ref="D209:E209"/>
    <mergeCell ref="F209:I209"/>
    <mergeCell ref="A204:D205"/>
    <mergeCell ref="E204:E205"/>
    <mergeCell ref="F204:I205"/>
    <mergeCell ref="A206:A207"/>
    <mergeCell ref="B206:E207"/>
    <mergeCell ref="F206:I206"/>
    <mergeCell ref="F207:G207"/>
    <mergeCell ref="M197:P197"/>
    <mergeCell ref="Q197:R197"/>
    <mergeCell ref="S197:T197"/>
    <mergeCell ref="L198:T198"/>
    <mergeCell ref="L199:M201"/>
    <mergeCell ref="N199:O200"/>
    <mergeCell ref="Q199:T199"/>
    <mergeCell ref="P200:T200"/>
    <mergeCell ref="N201:O201"/>
    <mergeCell ref="Q201:T201"/>
    <mergeCell ref="L204:O205"/>
    <mergeCell ref="P204:P205"/>
    <mergeCell ref="Q204:T205"/>
    <mergeCell ref="L206:L207"/>
    <mergeCell ref="M206:P207"/>
    <mergeCell ref="Q206:T206"/>
    <mergeCell ref="Q207:R207"/>
    <mergeCell ref="M195:P195"/>
    <mergeCell ref="Q195:R195"/>
    <mergeCell ref="S195:T195"/>
    <mergeCell ref="M196:P196"/>
    <mergeCell ref="Q196:R196"/>
    <mergeCell ref="S196:T196"/>
    <mergeCell ref="M193:P193"/>
    <mergeCell ref="Q193:R193"/>
    <mergeCell ref="S193:T193"/>
    <mergeCell ref="M194:P194"/>
    <mergeCell ref="Q194:R194"/>
    <mergeCell ref="S194:T194"/>
    <mergeCell ref="M191:P191"/>
    <mergeCell ref="Q191:R191"/>
    <mergeCell ref="S191:T191"/>
    <mergeCell ref="M192:P192"/>
    <mergeCell ref="Q192:R192"/>
    <mergeCell ref="S192:T192"/>
    <mergeCell ref="M189:P189"/>
    <mergeCell ref="Q189:R189"/>
    <mergeCell ref="S189:T189"/>
    <mergeCell ref="M190:P190"/>
    <mergeCell ref="Q190:R190"/>
    <mergeCell ref="S190:T190"/>
    <mergeCell ref="M187:P187"/>
    <mergeCell ref="Q187:R187"/>
    <mergeCell ref="S187:T187"/>
    <mergeCell ref="M188:P188"/>
    <mergeCell ref="Q188:R188"/>
    <mergeCell ref="S188:T188"/>
    <mergeCell ref="M185:P185"/>
    <mergeCell ref="Q185:R185"/>
    <mergeCell ref="S185:T185"/>
    <mergeCell ref="M186:P186"/>
    <mergeCell ref="Q186:R186"/>
    <mergeCell ref="S186:T186"/>
    <mergeCell ref="M183:P183"/>
    <mergeCell ref="Q183:R183"/>
    <mergeCell ref="S183:T183"/>
    <mergeCell ref="M184:P184"/>
    <mergeCell ref="Q184:R184"/>
    <mergeCell ref="S184:T184"/>
    <mergeCell ref="M181:P181"/>
    <mergeCell ref="Q181:R181"/>
    <mergeCell ref="S181:T181"/>
    <mergeCell ref="M182:P182"/>
    <mergeCell ref="Q182:R182"/>
    <mergeCell ref="S182:T182"/>
    <mergeCell ref="M179:N179"/>
    <mergeCell ref="P179:T179"/>
    <mergeCell ref="M180:N180"/>
    <mergeCell ref="O180:P180"/>
    <mergeCell ref="Q180:T180"/>
    <mergeCell ref="L175:O176"/>
    <mergeCell ref="P175:P176"/>
    <mergeCell ref="Q175:T176"/>
    <mergeCell ref="L177:L178"/>
    <mergeCell ref="M177:P178"/>
    <mergeCell ref="Q177:T177"/>
    <mergeCell ref="Q178:R178"/>
    <mergeCell ref="M168:P168"/>
    <mergeCell ref="Q168:R168"/>
    <mergeCell ref="S168:T168"/>
    <mergeCell ref="L169:T169"/>
    <mergeCell ref="L170:M172"/>
    <mergeCell ref="N170:O171"/>
    <mergeCell ref="Q170:T170"/>
    <mergeCell ref="P171:T171"/>
    <mergeCell ref="N172:O172"/>
    <mergeCell ref="Q172:T172"/>
    <mergeCell ref="M166:P166"/>
    <mergeCell ref="Q166:R166"/>
    <mergeCell ref="S166:T166"/>
    <mergeCell ref="M167:P167"/>
    <mergeCell ref="Q167:R167"/>
    <mergeCell ref="S167:T167"/>
    <mergeCell ref="M164:P164"/>
    <mergeCell ref="Q164:R164"/>
    <mergeCell ref="S164:T164"/>
    <mergeCell ref="M165:P165"/>
    <mergeCell ref="Q165:R165"/>
    <mergeCell ref="S165:T165"/>
    <mergeCell ref="M162:P162"/>
    <mergeCell ref="Q162:R162"/>
    <mergeCell ref="S162:T162"/>
    <mergeCell ref="M163:P163"/>
    <mergeCell ref="Q163:R163"/>
    <mergeCell ref="S163:T163"/>
    <mergeCell ref="M160:P160"/>
    <mergeCell ref="Q160:R160"/>
    <mergeCell ref="S160:T160"/>
    <mergeCell ref="M161:P161"/>
    <mergeCell ref="Q161:R161"/>
    <mergeCell ref="S161:T161"/>
    <mergeCell ref="M158:P158"/>
    <mergeCell ref="Q158:R158"/>
    <mergeCell ref="S158:T158"/>
    <mergeCell ref="M159:P159"/>
    <mergeCell ref="Q159:R159"/>
    <mergeCell ref="S159:T159"/>
    <mergeCell ref="M156:P156"/>
    <mergeCell ref="Q156:R156"/>
    <mergeCell ref="S156:T156"/>
    <mergeCell ref="M157:P157"/>
    <mergeCell ref="Q157:R157"/>
    <mergeCell ref="S157:T157"/>
    <mergeCell ref="M154:P154"/>
    <mergeCell ref="Q154:R154"/>
    <mergeCell ref="S154:T154"/>
    <mergeCell ref="M155:P155"/>
    <mergeCell ref="Q155:R155"/>
    <mergeCell ref="S155:T155"/>
    <mergeCell ref="M152:P152"/>
    <mergeCell ref="Q152:R152"/>
    <mergeCell ref="S152:T152"/>
    <mergeCell ref="M153:P153"/>
    <mergeCell ref="Q153:R153"/>
    <mergeCell ref="S153:T153"/>
    <mergeCell ref="M150:N150"/>
    <mergeCell ref="P150:T150"/>
    <mergeCell ref="M151:N151"/>
    <mergeCell ref="O151:P151"/>
    <mergeCell ref="Q151:T151"/>
    <mergeCell ref="L146:O147"/>
    <mergeCell ref="P146:P147"/>
    <mergeCell ref="Q146:T147"/>
    <mergeCell ref="L148:L149"/>
    <mergeCell ref="M148:P149"/>
    <mergeCell ref="Q148:T148"/>
    <mergeCell ref="Q149:R149"/>
    <mergeCell ref="M139:P139"/>
    <mergeCell ref="Q139:R139"/>
    <mergeCell ref="S139:T139"/>
    <mergeCell ref="L140:T140"/>
    <mergeCell ref="L141:M143"/>
    <mergeCell ref="N141:O142"/>
    <mergeCell ref="Q141:T141"/>
    <mergeCell ref="P142:T142"/>
    <mergeCell ref="N143:O143"/>
    <mergeCell ref="Q143:T143"/>
    <mergeCell ref="M137:P137"/>
    <mergeCell ref="Q137:R137"/>
    <mergeCell ref="S137:T137"/>
    <mergeCell ref="M138:P138"/>
    <mergeCell ref="Q138:R138"/>
    <mergeCell ref="S138:T138"/>
    <mergeCell ref="M135:P135"/>
    <mergeCell ref="Q135:R135"/>
    <mergeCell ref="S135:T135"/>
    <mergeCell ref="M136:P136"/>
    <mergeCell ref="Q136:R136"/>
    <mergeCell ref="S136:T136"/>
    <mergeCell ref="M133:P133"/>
    <mergeCell ref="Q133:R133"/>
    <mergeCell ref="S133:T133"/>
    <mergeCell ref="M134:P134"/>
    <mergeCell ref="Q134:R134"/>
    <mergeCell ref="S134:T134"/>
    <mergeCell ref="M131:P131"/>
    <mergeCell ref="Q131:R131"/>
    <mergeCell ref="S131:T131"/>
    <mergeCell ref="M132:P132"/>
    <mergeCell ref="Q132:R132"/>
    <mergeCell ref="S132:T132"/>
    <mergeCell ref="M129:P129"/>
    <mergeCell ref="Q129:R129"/>
    <mergeCell ref="S129:T129"/>
    <mergeCell ref="M130:P130"/>
    <mergeCell ref="Q130:R130"/>
    <mergeCell ref="S130:T130"/>
    <mergeCell ref="M127:P127"/>
    <mergeCell ref="Q127:R127"/>
    <mergeCell ref="S127:T127"/>
    <mergeCell ref="M128:P128"/>
    <mergeCell ref="Q128:R128"/>
    <mergeCell ref="S128:T128"/>
    <mergeCell ref="M125:P125"/>
    <mergeCell ref="Q125:R125"/>
    <mergeCell ref="S125:T125"/>
    <mergeCell ref="M126:P126"/>
    <mergeCell ref="Q126:R126"/>
    <mergeCell ref="S126:T126"/>
    <mergeCell ref="M123:P123"/>
    <mergeCell ref="Q123:R123"/>
    <mergeCell ref="S123:T123"/>
    <mergeCell ref="M124:P124"/>
    <mergeCell ref="Q124:R124"/>
    <mergeCell ref="S124:T124"/>
    <mergeCell ref="M121:N121"/>
    <mergeCell ref="P121:T121"/>
    <mergeCell ref="M122:N122"/>
    <mergeCell ref="O122:P122"/>
    <mergeCell ref="Q122:T122"/>
    <mergeCell ref="L117:O118"/>
    <mergeCell ref="P117:P118"/>
    <mergeCell ref="Q117:T118"/>
    <mergeCell ref="L119:L120"/>
    <mergeCell ref="M119:P120"/>
    <mergeCell ref="Q119:T119"/>
    <mergeCell ref="Q120:R120"/>
    <mergeCell ref="M110:P110"/>
    <mergeCell ref="Q110:R110"/>
    <mergeCell ref="S110:T110"/>
    <mergeCell ref="L111:T111"/>
    <mergeCell ref="L112:M114"/>
    <mergeCell ref="N112:O113"/>
    <mergeCell ref="Q112:T112"/>
    <mergeCell ref="P113:T113"/>
    <mergeCell ref="N114:O114"/>
    <mergeCell ref="Q114:T114"/>
    <mergeCell ref="M108:P108"/>
    <mergeCell ref="Q108:R108"/>
    <mergeCell ref="S108:T108"/>
    <mergeCell ref="M109:P109"/>
    <mergeCell ref="Q109:R109"/>
    <mergeCell ref="S109:T109"/>
    <mergeCell ref="M106:P106"/>
    <mergeCell ref="Q106:R106"/>
    <mergeCell ref="S106:T106"/>
    <mergeCell ref="M107:P107"/>
    <mergeCell ref="Q107:R107"/>
    <mergeCell ref="S107:T107"/>
    <mergeCell ref="M104:P104"/>
    <mergeCell ref="Q104:R104"/>
    <mergeCell ref="S104:T104"/>
    <mergeCell ref="M105:P105"/>
    <mergeCell ref="Q105:R105"/>
    <mergeCell ref="S105:T105"/>
    <mergeCell ref="M102:P102"/>
    <mergeCell ref="Q102:R102"/>
    <mergeCell ref="S102:T102"/>
    <mergeCell ref="M103:P103"/>
    <mergeCell ref="Q103:R103"/>
    <mergeCell ref="S103:T103"/>
    <mergeCell ref="M100:P100"/>
    <mergeCell ref="Q100:R100"/>
    <mergeCell ref="S100:T100"/>
    <mergeCell ref="M101:P101"/>
    <mergeCell ref="Q101:R101"/>
    <mergeCell ref="S101:T101"/>
    <mergeCell ref="M98:P98"/>
    <mergeCell ref="Q98:R98"/>
    <mergeCell ref="S98:T98"/>
    <mergeCell ref="M99:P99"/>
    <mergeCell ref="Q99:R99"/>
    <mergeCell ref="S99:T99"/>
    <mergeCell ref="M96:P96"/>
    <mergeCell ref="Q96:R96"/>
    <mergeCell ref="S96:T96"/>
    <mergeCell ref="M97:P97"/>
    <mergeCell ref="Q97:R97"/>
    <mergeCell ref="S97:T97"/>
    <mergeCell ref="M94:P94"/>
    <mergeCell ref="Q94:R94"/>
    <mergeCell ref="S94:T94"/>
    <mergeCell ref="M95:P95"/>
    <mergeCell ref="Q95:R95"/>
    <mergeCell ref="S95:T95"/>
    <mergeCell ref="M92:N92"/>
    <mergeCell ref="P92:T92"/>
    <mergeCell ref="M93:N93"/>
    <mergeCell ref="O93:P93"/>
    <mergeCell ref="Q93:T93"/>
    <mergeCell ref="L88:O89"/>
    <mergeCell ref="P88:P89"/>
    <mergeCell ref="Q88:T89"/>
    <mergeCell ref="L90:L91"/>
    <mergeCell ref="M90:P91"/>
    <mergeCell ref="Q90:T90"/>
    <mergeCell ref="Q91:R91"/>
    <mergeCell ref="M81:P81"/>
    <mergeCell ref="Q81:R81"/>
    <mergeCell ref="S81:T81"/>
    <mergeCell ref="L82:T82"/>
    <mergeCell ref="L83:M85"/>
    <mergeCell ref="N83:O84"/>
    <mergeCell ref="Q83:T83"/>
    <mergeCell ref="P84:T84"/>
    <mergeCell ref="N85:O85"/>
    <mergeCell ref="Q85:T85"/>
    <mergeCell ref="M79:P79"/>
    <mergeCell ref="Q79:R79"/>
    <mergeCell ref="S79:T79"/>
    <mergeCell ref="M80:P80"/>
    <mergeCell ref="Q80:R80"/>
    <mergeCell ref="S80:T80"/>
    <mergeCell ref="M77:P77"/>
    <mergeCell ref="Q77:R77"/>
    <mergeCell ref="S77:T77"/>
    <mergeCell ref="M78:P78"/>
    <mergeCell ref="Q78:R78"/>
    <mergeCell ref="S78:T78"/>
    <mergeCell ref="M75:P75"/>
    <mergeCell ref="Q75:R75"/>
    <mergeCell ref="S75:T75"/>
    <mergeCell ref="M76:P76"/>
    <mergeCell ref="Q76:R76"/>
    <mergeCell ref="S76:T76"/>
    <mergeCell ref="M73:P73"/>
    <mergeCell ref="Q73:R73"/>
    <mergeCell ref="S73:T73"/>
    <mergeCell ref="M74:P74"/>
    <mergeCell ref="Q74:R74"/>
    <mergeCell ref="S74:T74"/>
    <mergeCell ref="M71:P71"/>
    <mergeCell ref="Q71:R71"/>
    <mergeCell ref="S71:T71"/>
    <mergeCell ref="M72:P72"/>
    <mergeCell ref="Q72:R72"/>
    <mergeCell ref="S72:T72"/>
    <mergeCell ref="M69:P69"/>
    <mergeCell ref="Q69:R69"/>
    <mergeCell ref="S69:T69"/>
    <mergeCell ref="M70:P70"/>
    <mergeCell ref="Q70:R70"/>
    <mergeCell ref="S70:T70"/>
    <mergeCell ref="M67:P67"/>
    <mergeCell ref="Q67:R67"/>
    <mergeCell ref="S67:T67"/>
    <mergeCell ref="M68:P68"/>
    <mergeCell ref="Q68:R68"/>
    <mergeCell ref="S68:T68"/>
    <mergeCell ref="M65:P65"/>
    <mergeCell ref="Q65:R65"/>
    <mergeCell ref="S65:T65"/>
    <mergeCell ref="M66:P66"/>
    <mergeCell ref="Q66:R66"/>
    <mergeCell ref="S66:T66"/>
    <mergeCell ref="M63:N63"/>
    <mergeCell ref="P63:T63"/>
    <mergeCell ref="M64:N64"/>
    <mergeCell ref="O64:P64"/>
    <mergeCell ref="Q64:T64"/>
    <mergeCell ref="L59:O60"/>
    <mergeCell ref="P59:P60"/>
    <mergeCell ref="Q59:T60"/>
    <mergeCell ref="L61:L62"/>
    <mergeCell ref="M61:P62"/>
    <mergeCell ref="Q61:T61"/>
    <mergeCell ref="Q62:R62"/>
    <mergeCell ref="M52:P52"/>
    <mergeCell ref="Q52:R52"/>
    <mergeCell ref="S52:T52"/>
    <mergeCell ref="L53:T53"/>
    <mergeCell ref="L54:M56"/>
    <mergeCell ref="N54:O55"/>
    <mergeCell ref="Q54:T54"/>
    <mergeCell ref="P55:T55"/>
    <mergeCell ref="N56:O56"/>
    <mergeCell ref="Q56:T56"/>
    <mergeCell ref="M50:P50"/>
    <mergeCell ref="Q50:R50"/>
    <mergeCell ref="S50:T50"/>
    <mergeCell ref="M51:P51"/>
    <mergeCell ref="Q51:R51"/>
    <mergeCell ref="S51:T51"/>
    <mergeCell ref="M48:P48"/>
    <mergeCell ref="Q48:R48"/>
    <mergeCell ref="S48:T48"/>
    <mergeCell ref="M49:P49"/>
    <mergeCell ref="Q49:R49"/>
    <mergeCell ref="S49:T49"/>
    <mergeCell ref="M46:P46"/>
    <mergeCell ref="Q46:R46"/>
    <mergeCell ref="S46:T46"/>
    <mergeCell ref="M47:P47"/>
    <mergeCell ref="Q47:R47"/>
    <mergeCell ref="S47:T47"/>
    <mergeCell ref="M44:P44"/>
    <mergeCell ref="Q44:R44"/>
    <mergeCell ref="S44:T44"/>
    <mergeCell ref="M45:P45"/>
    <mergeCell ref="Q45:R45"/>
    <mergeCell ref="S45:T45"/>
    <mergeCell ref="M42:P42"/>
    <mergeCell ref="Q42:R42"/>
    <mergeCell ref="S42:T42"/>
    <mergeCell ref="M43:P43"/>
    <mergeCell ref="Q43:R43"/>
    <mergeCell ref="S43:T43"/>
    <mergeCell ref="M40:P40"/>
    <mergeCell ref="Q40:R40"/>
    <mergeCell ref="S40:T40"/>
    <mergeCell ref="M41:P41"/>
    <mergeCell ref="Q41:R41"/>
    <mergeCell ref="S41:T41"/>
    <mergeCell ref="M38:P38"/>
    <mergeCell ref="Q38:R38"/>
    <mergeCell ref="S38:T38"/>
    <mergeCell ref="M39:P39"/>
    <mergeCell ref="Q39:R39"/>
    <mergeCell ref="S39:T39"/>
    <mergeCell ref="M36:P36"/>
    <mergeCell ref="Q36:R36"/>
    <mergeCell ref="S36:T36"/>
    <mergeCell ref="M37:P37"/>
    <mergeCell ref="Q37:R37"/>
    <mergeCell ref="S37:T37"/>
    <mergeCell ref="M34:N34"/>
    <mergeCell ref="P34:T34"/>
    <mergeCell ref="M35:N35"/>
    <mergeCell ref="O35:P35"/>
    <mergeCell ref="Q35:T35"/>
    <mergeCell ref="L30:O31"/>
    <mergeCell ref="P30:P31"/>
    <mergeCell ref="Q30:T31"/>
    <mergeCell ref="L32:L33"/>
    <mergeCell ref="M32:P33"/>
    <mergeCell ref="Q32:T32"/>
    <mergeCell ref="Q33:R33"/>
    <mergeCell ref="M23:P23"/>
    <mergeCell ref="Q23:R23"/>
    <mergeCell ref="S23:T23"/>
    <mergeCell ref="L24:T24"/>
    <mergeCell ref="L25:M27"/>
    <mergeCell ref="N25:O26"/>
    <mergeCell ref="Q25:T25"/>
    <mergeCell ref="P26:T26"/>
    <mergeCell ref="N27:O27"/>
    <mergeCell ref="Q27:T27"/>
    <mergeCell ref="M21:P21"/>
    <mergeCell ref="Q21:R21"/>
    <mergeCell ref="S21:T21"/>
    <mergeCell ref="M22:P22"/>
    <mergeCell ref="Q22:R22"/>
    <mergeCell ref="S22:T22"/>
    <mergeCell ref="M19:P19"/>
    <mergeCell ref="Q19:R19"/>
    <mergeCell ref="S19:T19"/>
    <mergeCell ref="M20:P20"/>
    <mergeCell ref="Q20:R20"/>
    <mergeCell ref="S20:T20"/>
    <mergeCell ref="M17:P17"/>
    <mergeCell ref="Q17:R17"/>
    <mergeCell ref="S17:T17"/>
    <mergeCell ref="M18:P18"/>
    <mergeCell ref="Q18:R18"/>
    <mergeCell ref="S18:T18"/>
    <mergeCell ref="M15:P15"/>
    <mergeCell ref="Q15:R15"/>
    <mergeCell ref="S15:T15"/>
    <mergeCell ref="M16:P16"/>
    <mergeCell ref="Q16:R16"/>
    <mergeCell ref="S16:T16"/>
    <mergeCell ref="M13:P13"/>
    <mergeCell ref="Q13:R13"/>
    <mergeCell ref="S13:T13"/>
    <mergeCell ref="M14:P14"/>
    <mergeCell ref="Q14:R14"/>
    <mergeCell ref="S14:T14"/>
    <mergeCell ref="M11:P11"/>
    <mergeCell ref="Q11:R11"/>
    <mergeCell ref="S11:T11"/>
    <mergeCell ref="M12:P12"/>
    <mergeCell ref="Q12:R12"/>
    <mergeCell ref="S12:T12"/>
    <mergeCell ref="M9:P9"/>
    <mergeCell ref="Q9:R9"/>
    <mergeCell ref="S9:T9"/>
    <mergeCell ref="M10:P10"/>
    <mergeCell ref="Q10:R10"/>
    <mergeCell ref="S10:T10"/>
    <mergeCell ref="M7:P7"/>
    <mergeCell ref="Q7:R7"/>
    <mergeCell ref="S7:T7"/>
    <mergeCell ref="M8:P8"/>
    <mergeCell ref="Q8:R8"/>
    <mergeCell ref="S8:T8"/>
    <mergeCell ref="M5:N5"/>
    <mergeCell ref="P5:T5"/>
    <mergeCell ref="M6:N6"/>
    <mergeCell ref="O6:P6"/>
    <mergeCell ref="Q6:T6"/>
    <mergeCell ref="L1:O2"/>
    <mergeCell ref="P1:P2"/>
    <mergeCell ref="Q1:T2"/>
    <mergeCell ref="L3:L4"/>
    <mergeCell ref="M3:P4"/>
    <mergeCell ref="Q3:T3"/>
    <mergeCell ref="Q4:R4"/>
    <mergeCell ref="B197:E197"/>
    <mergeCell ref="F197:G197"/>
    <mergeCell ref="H197:I197"/>
    <mergeCell ref="A198:I198"/>
    <mergeCell ref="A199:B201"/>
    <mergeCell ref="C199:D200"/>
    <mergeCell ref="F199:I199"/>
    <mergeCell ref="E200:I200"/>
    <mergeCell ref="C201:D201"/>
    <mergeCell ref="F201:I201"/>
    <mergeCell ref="B195:E195"/>
    <mergeCell ref="F195:G195"/>
    <mergeCell ref="H195:I195"/>
    <mergeCell ref="B196:E196"/>
    <mergeCell ref="F196:G196"/>
    <mergeCell ref="H196:I196"/>
    <mergeCell ref="B193:E193"/>
    <mergeCell ref="F193:G193"/>
    <mergeCell ref="H193:I193"/>
    <mergeCell ref="B194:E194"/>
    <mergeCell ref="F194:G194"/>
    <mergeCell ref="H194:I194"/>
    <mergeCell ref="B191:E191"/>
    <mergeCell ref="F191:G191"/>
    <mergeCell ref="H191:I191"/>
    <mergeCell ref="B192:E192"/>
    <mergeCell ref="F192:G192"/>
    <mergeCell ref="H192:I192"/>
    <mergeCell ref="B189:E189"/>
    <mergeCell ref="F189:G189"/>
    <mergeCell ref="H189:I189"/>
    <mergeCell ref="B190:E190"/>
    <mergeCell ref="F190:G190"/>
    <mergeCell ref="H190:I190"/>
    <mergeCell ref="B187:E187"/>
    <mergeCell ref="F187:G187"/>
    <mergeCell ref="H187:I187"/>
    <mergeCell ref="B188:E188"/>
    <mergeCell ref="F188:G188"/>
    <mergeCell ref="H188:I188"/>
    <mergeCell ref="B185:E185"/>
    <mergeCell ref="F185:G185"/>
    <mergeCell ref="H185:I185"/>
    <mergeCell ref="B186:E186"/>
    <mergeCell ref="F186:G186"/>
    <mergeCell ref="H186:I186"/>
    <mergeCell ref="B183:E183"/>
    <mergeCell ref="F183:G183"/>
    <mergeCell ref="H183:I183"/>
    <mergeCell ref="B184:E184"/>
    <mergeCell ref="F184:G184"/>
    <mergeCell ref="H184:I184"/>
    <mergeCell ref="B181:E181"/>
    <mergeCell ref="F181:G181"/>
    <mergeCell ref="H181:I181"/>
    <mergeCell ref="B182:E182"/>
    <mergeCell ref="F182:G182"/>
    <mergeCell ref="H182:I182"/>
    <mergeCell ref="B179:C179"/>
    <mergeCell ref="E179:I179"/>
    <mergeCell ref="B180:C180"/>
    <mergeCell ref="D180:E180"/>
    <mergeCell ref="F180:I180"/>
    <mergeCell ref="A175:D176"/>
    <mergeCell ref="E175:E176"/>
    <mergeCell ref="F175:I176"/>
    <mergeCell ref="A177:A178"/>
    <mergeCell ref="B177:E178"/>
    <mergeCell ref="F177:I177"/>
    <mergeCell ref="F178:G178"/>
    <mergeCell ref="B168:E168"/>
    <mergeCell ref="F168:G168"/>
    <mergeCell ref="H168:I168"/>
    <mergeCell ref="A169:I169"/>
    <mergeCell ref="A170:B172"/>
    <mergeCell ref="C170:D171"/>
    <mergeCell ref="F170:I170"/>
    <mergeCell ref="E171:I171"/>
    <mergeCell ref="C172:D172"/>
    <mergeCell ref="F172:I172"/>
    <mergeCell ref="B166:E166"/>
    <mergeCell ref="F166:G166"/>
    <mergeCell ref="H166:I166"/>
    <mergeCell ref="B167:E167"/>
    <mergeCell ref="F167:G167"/>
    <mergeCell ref="H167:I167"/>
    <mergeCell ref="B164:E164"/>
    <mergeCell ref="F164:G164"/>
    <mergeCell ref="H164:I164"/>
    <mergeCell ref="B165:E165"/>
    <mergeCell ref="F165:G165"/>
    <mergeCell ref="H165:I165"/>
    <mergeCell ref="B162:E162"/>
    <mergeCell ref="F162:G162"/>
    <mergeCell ref="H162:I162"/>
    <mergeCell ref="B163:E163"/>
    <mergeCell ref="F163:G163"/>
    <mergeCell ref="H163:I163"/>
    <mergeCell ref="B160:E160"/>
    <mergeCell ref="F160:G160"/>
    <mergeCell ref="H160:I160"/>
    <mergeCell ref="B161:E161"/>
    <mergeCell ref="F161:G161"/>
    <mergeCell ref="H161:I161"/>
    <mergeCell ref="B158:E158"/>
    <mergeCell ref="F158:G158"/>
    <mergeCell ref="H158:I158"/>
    <mergeCell ref="B159:E159"/>
    <mergeCell ref="F159:G159"/>
    <mergeCell ref="H159:I159"/>
    <mergeCell ref="B156:E156"/>
    <mergeCell ref="F156:G156"/>
    <mergeCell ref="H156:I156"/>
    <mergeCell ref="B157:E157"/>
    <mergeCell ref="F157:G157"/>
    <mergeCell ref="H157:I157"/>
    <mergeCell ref="B154:E154"/>
    <mergeCell ref="F154:G154"/>
    <mergeCell ref="H154:I154"/>
    <mergeCell ref="B155:E155"/>
    <mergeCell ref="F155:G155"/>
    <mergeCell ref="H155:I155"/>
    <mergeCell ref="B152:E152"/>
    <mergeCell ref="F152:G152"/>
    <mergeCell ref="H152:I152"/>
    <mergeCell ref="B153:E153"/>
    <mergeCell ref="F153:G153"/>
    <mergeCell ref="H153:I153"/>
    <mergeCell ref="B150:C150"/>
    <mergeCell ref="E150:I150"/>
    <mergeCell ref="B151:C151"/>
    <mergeCell ref="D151:E151"/>
    <mergeCell ref="F151:I151"/>
    <mergeCell ref="A146:D147"/>
    <mergeCell ref="E146:E147"/>
    <mergeCell ref="F146:I147"/>
    <mergeCell ref="A148:A149"/>
    <mergeCell ref="B148:E149"/>
    <mergeCell ref="F148:I148"/>
    <mergeCell ref="F149:G149"/>
    <mergeCell ref="B139:E139"/>
    <mergeCell ref="F139:G139"/>
    <mergeCell ref="H139:I139"/>
    <mergeCell ref="A140:I140"/>
    <mergeCell ref="A141:B143"/>
    <mergeCell ref="C141:D142"/>
    <mergeCell ref="F141:I141"/>
    <mergeCell ref="E142:I142"/>
    <mergeCell ref="C143:D143"/>
    <mergeCell ref="F143:I143"/>
    <mergeCell ref="B137:E137"/>
    <mergeCell ref="F137:G137"/>
    <mergeCell ref="H137:I137"/>
    <mergeCell ref="B138:E138"/>
    <mergeCell ref="F138:G138"/>
    <mergeCell ref="H138:I138"/>
    <mergeCell ref="B135:E135"/>
    <mergeCell ref="F135:G135"/>
    <mergeCell ref="H135:I135"/>
    <mergeCell ref="B136:E136"/>
    <mergeCell ref="F136:G136"/>
    <mergeCell ref="H136:I136"/>
    <mergeCell ref="B133:E133"/>
    <mergeCell ref="F133:G133"/>
    <mergeCell ref="H133:I133"/>
    <mergeCell ref="B134:E134"/>
    <mergeCell ref="F134:G134"/>
    <mergeCell ref="H134:I134"/>
    <mergeCell ref="B131:E131"/>
    <mergeCell ref="F131:G131"/>
    <mergeCell ref="H131:I131"/>
    <mergeCell ref="B132:E132"/>
    <mergeCell ref="F132:G132"/>
    <mergeCell ref="H132:I132"/>
    <mergeCell ref="B129:E129"/>
    <mergeCell ref="F129:G129"/>
    <mergeCell ref="H129:I129"/>
    <mergeCell ref="B130:E130"/>
    <mergeCell ref="F130:G130"/>
    <mergeCell ref="H130:I130"/>
    <mergeCell ref="B127:E127"/>
    <mergeCell ref="F127:G127"/>
    <mergeCell ref="H127:I127"/>
    <mergeCell ref="B128:E128"/>
    <mergeCell ref="F128:G128"/>
    <mergeCell ref="H128:I128"/>
    <mergeCell ref="B125:E125"/>
    <mergeCell ref="F125:G125"/>
    <mergeCell ref="H125:I125"/>
    <mergeCell ref="B126:E126"/>
    <mergeCell ref="F126:G126"/>
    <mergeCell ref="H126:I126"/>
    <mergeCell ref="B123:E123"/>
    <mergeCell ref="F123:G123"/>
    <mergeCell ref="H123:I123"/>
    <mergeCell ref="B124:E124"/>
    <mergeCell ref="F124:G124"/>
    <mergeCell ref="H124:I124"/>
    <mergeCell ref="B121:C121"/>
    <mergeCell ref="E121:I121"/>
    <mergeCell ref="B122:C122"/>
    <mergeCell ref="D122:E122"/>
    <mergeCell ref="F122:I122"/>
    <mergeCell ref="A117:D118"/>
    <mergeCell ref="E117:E118"/>
    <mergeCell ref="F117:I118"/>
    <mergeCell ref="A119:A120"/>
    <mergeCell ref="B119:E120"/>
    <mergeCell ref="F119:I119"/>
    <mergeCell ref="F120:G120"/>
    <mergeCell ref="B110:E110"/>
    <mergeCell ref="F110:G110"/>
    <mergeCell ref="H110:I110"/>
    <mergeCell ref="A111:I111"/>
    <mergeCell ref="A112:B114"/>
    <mergeCell ref="C112:D113"/>
    <mergeCell ref="F112:I112"/>
    <mergeCell ref="E113:I113"/>
    <mergeCell ref="C114:D114"/>
    <mergeCell ref="F114:I114"/>
    <mergeCell ref="B108:E108"/>
    <mergeCell ref="F108:G108"/>
    <mergeCell ref="H108:I108"/>
    <mergeCell ref="B109:E109"/>
    <mergeCell ref="F109:G109"/>
    <mergeCell ref="H109:I109"/>
    <mergeCell ref="B106:E106"/>
    <mergeCell ref="F106:G106"/>
    <mergeCell ref="H106:I106"/>
    <mergeCell ref="B107:E107"/>
    <mergeCell ref="F107:G107"/>
    <mergeCell ref="H107:I107"/>
    <mergeCell ref="B104:E104"/>
    <mergeCell ref="F104:G104"/>
    <mergeCell ref="H104:I104"/>
    <mergeCell ref="B105:E105"/>
    <mergeCell ref="F105:G105"/>
    <mergeCell ref="H105:I105"/>
    <mergeCell ref="B102:E102"/>
    <mergeCell ref="F102:G102"/>
    <mergeCell ref="H102:I102"/>
    <mergeCell ref="B103:E103"/>
    <mergeCell ref="F103:G103"/>
    <mergeCell ref="H103:I103"/>
    <mergeCell ref="B100:E100"/>
    <mergeCell ref="F100:G100"/>
    <mergeCell ref="H100:I100"/>
    <mergeCell ref="B101:E101"/>
    <mergeCell ref="F101:G101"/>
    <mergeCell ref="H101:I101"/>
    <mergeCell ref="B98:E98"/>
    <mergeCell ref="F98:G98"/>
    <mergeCell ref="H98:I98"/>
    <mergeCell ref="B99:E99"/>
    <mergeCell ref="F99:G99"/>
    <mergeCell ref="H99:I99"/>
    <mergeCell ref="B96:E96"/>
    <mergeCell ref="F96:G96"/>
    <mergeCell ref="H96:I96"/>
    <mergeCell ref="B97:E97"/>
    <mergeCell ref="F97:G97"/>
    <mergeCell ref="H97:I97"/>
    <mergeCell ref="B94:E94"/>
    <mergeCell ref="F94:G94"/>
    <mergeCell ref="H94:I94"/>
    <mergeCell ref="B95:E95"/>
    <mergeCell ref="F95:G95"/>
    <mergeCell ref="H95:I95"/>
    <mergeCell ref="B92:C92"/>
    <mergeCell ref="E92:I92"/>
    <mergeCell ref="B93:C93"/>
    <mergeCell ref="D93:E93"/>
    <mergeCell ref="F93:I93"/>
    <mergeCell ref="A88:D89"/>
    <mergeCell ref="E88:E89"/>
    <mergeCell ref="F88:I89"/>
    <mergeCell ref="A90:A91"/>
    <mergeCell ref="B90:E91"/>
    <mergeCell ref="F90:I90"/>
    <mergeCell ref="F91:G91"/>
    <mergeCell ref="B81:E81"/>
    <mergeCell ref="F81:G81"/>
    <mergeCell ref="H81:I81"/>
    <mergeCell ref="A82:I82"/>
    <mergeCell ref="A83:B85"/>
    <mergeCell ref="C83:D84"/>
    <mergeCell ref="F83:I83"/>
    <mergeCell ref="E84:I84"/>
    <mergeCell ref="C85:D85"/>
    <mergeCell ref="F85:I85"/>
    <mergeCell ref="B79:E79"/>
    <mergeCell ref="F79:G79"/>
    <mergeCell ref="H79:I79"/>
    <mergeCell ref="B80:E80"/>
    <mergeCell ref="F80:G80"/>
    <mergeCell ref="H80:I80"/>
    <mergeCell ref="B77:E77"/>
    <mergeCell ref="F77:G77"/>
    <mergeCell ref="H77:I77"/>
    <mergeCell ref="B78:E78"/>
    <mergeCell ref="F78:G78"/>
    <mergeCell ref="H78:I78"/>
    <mergeCell ref="B75:E75"/>
    <mergeCell ref="F75:G75"/>
    <mergeCell ref="H75:I75"/>
    <mergeCell ref="B76:E76"/>
    <mergeCell ref="F76:G76"/>
    <mergeCell ref="H76:I76"/>
    <mergeCell ref="B73:E73"/>
    <mergeCell ref="F73:G73"/>
    <mergeCell ref="H73:I73"/>
    <mergeCell ref="B74:E74"/>
    <mergeCell ref="F74:G74"/>
    <mergeCell ref="H74:I74"/>
    <mergeCell ref="B71:E71"/>
    <mergeCell ref="F71:G71"/>
    <mergeCell ref="H71:I71"/>
    <mergeCell ref="B72:E72"/>
    <mergeCell ref="F72:G72"/>
    <mergeCell ref="H72:I72"/>
    <mergeCell ref="B69:E69"/>
    <mergeCell ref="F69:G69"/>
    <mergeCell ref="H69:I69"/>
    <mergeCell ref="B70:E70"/>
    <mergeCell ref="F70:G70"/>
    <mergeCell ref="H70:I70"/>
    <mergeCell ref="B67:E67"/>
    <mergeCell ref="F67:G67"/>
    <mergeCell ref="H67:I67"/>
    <mergeCell ref="B68:E68"/>
    <mergeCell ref="F68:G68"/>
    <mergeCell ref="H68:I68"/>
    <mergeCell ref="B65:E65"/>
    <mergeCell ref="F65:G65"/>
    <mergeCell ref="H65:I65"/>
    <mergeCell ref="B66:E66"/>
    <mergeCell ref="F66:G66"/>
    <mergeCell ref="H66:I66"/>
    <mergeCell ref="B63:C63"/>
    <mergeCell ref="E63:I63"/>
    <mergeCell ref="B64:C64"/>
    <mergeCell ref="D64:E64"/>
    <mergeCell ref="F64:I64"/>
    <mergeCell ref="A59:D60"/>
    <mergeCell ref="E59:E60"/>
    <mergeCell ref="F59:I60"/>
    <mergeCell ref="A61:A62"/>
    <mergeCell ref="B61:E62"/>
    <mergeCell ref="F61:I61"/>
    <mergeCell ref="F62:G62"/>
    <mergeCell ref="B52:E52"/>
    <mergeCell ref="F52:G52"/>
    <mergeCell ref="H52:I52"/>
    <mergeCell ref="A53:I53"/>
    <mergeCell ref="A54:B56"/>
    <mergeCell ref="C54:D55"/>
    <mergeCell ref="F54:I54"/>
    <mergeCell ref="E55:I55"/>
    <mergeCell ref="C56:D56"/>
    <mergeCell ref="F56:I56"/>
    <mergeCell ref="B50:E50"/>
    <mergeCell ref="F50:G50"/>
    <mergeCell ref="H50:I50"/>
    <mergeCell ref="B51:E51"/>
    <mergeCell ref="F51:G51"/>
    <mergeCell ref="H51:I51"/>
    <mergeCell ref="B48:E48"/>
    <mergeCell ref="F48:G48"/>
    <mergeCell ref="H48:I48"/>
    <mergeCell ref="B49:E49"/>
    <mergeCell ref="F49:G49"/>
    <mergeCell ref="H49:I49"/>
    <mergeCell ref="B46:E46"/>
    <mergeCell ref="F46:G46"/>
    <mergeCell ref="H46:I46"/>
    <mergeCell ref="B47:E47"/>
    <mergeCell ref="F47:G47"/>
    <mergeCell ref="H47:I47"/>
    <mergeCell ref="B44:E44"/>
    <mergeCell ref="F44:G44"/>
    <mergeCell ref="H44:I44"/>
    <mergeCell ref="B45:E45"/>
    <mergeCell ref="F45:G45"/>
    <mergeCell ref="H45:I45"/>
    <mergeCell ref="B42:E42"/>
    <mergeCell ref="F42:G42"/>
    <mergeCell ref="H42:I42"/>
    <mergeCell ref="B43:E43"/>
    <mergeCell ref="F43:G43"/>
    <mergeCell ref="H43:I43"/>
    <mergeCell ref="B40:E40"/>
    <mergeCell ref="F40:G40"/>
    <mergeCell ref="H40:I40"/>
    <mergeCell ref="B41:E41"/>
    <mergeCell ref="F41:G41"/>
    <mergeCell ref="H41:I41"/>
    <mergeCell ref="B38:E38"/>
    <mergeCell ref="F38:G38"/>
    <mergeCell ref="H38:I38"/>
    <mergeCell ref="B39:E39"/>
    <mergeCell ref="F39:G39"/>
    <mergeCell ref="H39:I39"/>
    <mergeCell ref="B36:E36"/>
    <mergeCell ref="F36:G36"/>
    <mergeCell ref="H36:I36"/>
    <mergeCell ref="B37:E37"/>
    <mergeCell ref="F37:G37"/>
    <mergeCell ref="H37:I37"/>
    <mergeCell ref="B34:C34"/>
    <mergeCell ref="E34:I34"/>
    <mergeCell ref="B35:C35"/>
    <mergeCell ref="D35:E35"/>
    <mergeCell ref="F35:I35"/>
    <mergeCell ref="A30:D31"/>
    <mergeCell ref="E30:E31"/>
    <mergeCell ref="F30:I31"/>
    <mergeCell ref="A32:A33"/>
    <mergeCell ref="B32:E33"/>
    <mergeCell ref="F32:I32"/>
    <mergeCell ref="F33:G33"/>
    <mergeCell ref="A3:A4"/>
    <mergeCell ref="B3:E4"/>
    <mergeCell ref="A1:D2"/>
    <mergeCell ref="F1:I2"/>
    <mergeCell ref="E1:E2"/>
    <mergeCell ref="F3:I3"/>
    <mergeCell ref="F4:G4"/>
    <mergeCell ref="A24:I24"/>
    <mergeCell ref="A25:B27"/>
    <mergeCell ref="C25:D26"/>
    <mergeCell ref="E26:I26"/>
    <mergeCell ref="C27:D27"/>
    <mergeCell ref="F25:I25"/>
    <mergeCell ref="F27:I27"/>
    <mergeCell ref="B22:E22"/>
    <mergeCell ref="F22:G22"/>
    <mergeCell ref="H22:I22"/>
    <mergeCell ref="B23:E23"/>
    <mergeCell ref="F23:G23"/>
    <mergeCell ref="H23:I23"/>
    <mergeCell ref="B20:E20"/>
    <mergeCell ref="F20:G20"/>
    <mergeCell ref="H20:I20"/>
    <mergeCell ref="B21:E21"/>
    <mergeCell ref="F21:G21"/>
    <mergeCell ref="H21:I21"/>
    <mergeCell ref="B18:E18"/>
    <mergeCell ref="F18:G18"/>
    <mergeCell ref="H18:I18"/>
    <mergeCell ref="B19:E19"/>
    <mergeCell ref="F19:G19"/>
    <mergeCell ref="H19:I19"/>
    <mergeCell ref="B16:E16"/>
    <mergeCell ref="F16:G16"/>
    <mergeCell ref="H16:I16"/>
    <mergeCell ref="B17:E17"/>
    <mergeCell ref="F17:G17"/>
    <mergeCell ref="H17:I17"/>
    <mergeCell ref="B14:E14"/>
    <mergeCell ref="F14:G14"/>
    <mergeCell ref="H14:I14"/>
    <mergeCell ref="B15:E15"/>
    <mergeCell ref="F15:G15"/>
    <mergeCell ref="H15:I15"/>
    <mergeCell ref="B7:E7"/>
    <mergeCell ref="F7:G7"/>
    <mergeCell ref="H7:I7"/>
    <mergeCell ref="D6:E6"/>
    <mergeCell ref="E5:I5"/>
    <mergeCell ref="B5:C5"/>
    <mergeCell ref="B6:C6"/>
    <mergeCell ref="F6:I6"/>
    <mergeCell ref="B12:E12"/>
    <mergeCell ref="F12:G12"/>
    <mergeCell ref="H12:I12"/>
    <mergeCell ref="B13:E13"/>
    <mergeCell ref="F13:G13"/>
    <mergeCell ref="H13:I13"/>
    <mergeCell ref="B10:E10"/>
    <mergeCell ref="F10:G10"/>
    <mergeCell ref="H10:I10"/>
    <mergeCell ref="B11:E11"/>
    <mergeCell ref="F11:G11"/>
    <mergeCell ref="H11:I11"/>
    <mergeCell ref="B8:E8"/>
    <mergeCell ref="F8:G8"/>
    <mergeCell ref="H8:I8"/>
    <mergeCell ref="B9:E9"/>
    <mergeCell ref="F9:G9"/>
    <mergeCell ref="H9:I9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D1" workbookViewId="0">
      <selection activeCell="E14" sqref="E14"/>
    </sheetView>
  </sheetViews>
  <sheetFormatPr baseColWidth="10" defaultRowHeight="15" x14ac:dyDescent="0.25"/>
  <cols>
    <col min="2" max="2" width="27.140625" customWidth="1"/>
    <col min="3" max="5" width="30.42578125" customWidth="1"/>
    <col min="6" max="8" width="23.7109375" customWidth="1"/>
    <col min="9" max="9" width="30.5703125" customWidth="1"/>
    <col min="10" max="17" width="23.7109375" customWidth="1"/>
    <col min="18" max="18" width="24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  <c r="R2" s="37"/>
    </row>
    <row r="3" spans="1:18" ht="9.7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3.75" customHeight="1" x14ac:dyDescent="0.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</row>
    <row r="5" spans="1:18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2" t="s">
        <v>2</v>
      </c>
      <c r="B6" s="2" t="s">
        <v>88</v>
      </c>
      <c r="C6" s="2" t="s">
        <v>3</v>
      </c>
      <c r="D6" s="2" t="s">
        <v>90</v>
      </c>
      <c r="E6" s="2" t="s">
        <v>89</v>
      </c>
      <c r="F6" s="2" t="s">
        <v>22</v>
      </c>
      <c r="G6" s="2" t="s">
        <v>4</v>
      </c>
      <c r="H6" s="2" t="s">
        <v>5</v>
      </c>
      <c r="I6" s="2" t="s">
        <v>162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2" t="s">
        <v>11</v>
      </c>
      <c r="P6" s="2" t="s">
        <v>12</v>
      </c>
      <c r="Q6" s="2" t="s">
        <v>91</v>
      </c>
      <c r="R6" s="2" t="s">
        <v>71</v>
      </c>
    </row>
    <row r="7" spans="1:18" ht="39" customHeight="1" x14ac:dyDescent="0.25">
      <c r="A7" s="3">
        <v>701</v>
      </c>
      <c r="B7" s="3" t="str">
        <f t="shared" ref="B7:B36" si="0">IF(ISBLANK(A7),"",IF(ISERROR(VLOOKUP(A7,bdpapeleria,2,FALSE)),"El dato no existe",VLOOKUP(A7,bdpapeleria,2,FALSE)))</f>
        <v>890980134-1</v>
      </c>
      <c r="C7" s="39" t="str">
        <f>IF(ISBLANK(A7),"",IF(ISERROR(VLOOKUP(A7,bdpapeleria,3,FALSE)),"El dato no existe",VLOOKUP(A7,bdpapeleria,3,FALSE)))</f>
        <v>COLEGIO MAYOR DE ANTIOQUIA</v>
      </c>
      <c r="D7" s="40">
        <f t="shared" ref="D7:D36" si="1">IF(ISBLANK(A7),"",IF(ISERROR(VLOOKUP(A7,bdpapeleria,4,FALSE)),"El dato no existe",VLOOKUP(A7,bdpapeleria,4,FALSE)))</f>
        <v>4445611</v>
      </c>
      <c r="E7" s="3" t="str">
        <f t="shared" ref="E7:E36" si="2">IF(ISBLANK(A7),"",IF(ISERROR(VLOOKUP(A7,bdpapeleria,5,FALSE)),"El dato no existe",VLOOKUP(A7,bdpapeleria,5,FALSE)))</f>
        <v>Carrera 78 N° 65-46</v>
      </c>
      <c r="F7" s="3" t="str">
        <f t="shared" ref="F7:F36" si="3">IF(ISBLANK(A7),"",IF(ISERROR(VLOOKUP(A7,bdpapeleria,6,FALSE)),"El dato no existe",VLOOKUP(A7,bdpapeleria,6,FALSE)))</f>
        <v>Antioquia</v>
      </c>
      <c r="G7" s="39" t="str">
        <f t="shared" ref="G7:G36" si="4">IF(ISBLANK(A7),"",IF(ISERROR(VLOOKUP(A7,bdpapeleria,7,FALSE)),"El dato no existe",VLOOKUP(A7,bdpapeleria,7,FALSE)))</f>
        <v xml:space="preserve">CAJA DE RESMAS TAMAÑO OFICIO </v>
      </c>
      <c r="H7" s="3">
        <f t="shared" ref="H7:H36" si="5">IF(ISBLANK(A7),"",IF(ISERROR(VLOOKUP(A7,bdpapeleria,8,FALSE)),"El dato no existe",VLOOKUP(A7,bdpapeleria,8,FALSE)))</f>
        <v>35</v>
      </c>
      <c r="I7" s="3">
        <f t="shared" ref="I7:I44" si="6">IF(ISBLANK(A7),"",IF(ISERROR(VLOOKUP(A7,bdpapeleria,9,FALSE)),"El dato no existe",VLOOKUP(A7,bdpapeleria,9,FALSE)))</f>
        <v>8</v>
      </c>
      <c r="J7" s="3">
        <f t="shared" ref="J7:J36" si="7">IF(ISBLANK(A7),"",IF(ISERROR(VLOOKUP(A7,bdpapeleria,10,FALSE)),"El dato no existe",VLOOKUP(A7,bdpapeleria,10,FALSE)))</f>
        <v>34890</v>
      </c>
      <c r="K7" s="6">
        <f>J7*H7</f>
        <v>1221150</v>
      </c>
      <c r="L7" s="6">
        <f t="shared" ref="L7:L36" si="8">IF(AND(H7&gt;=10,H7&lt;=20),K7*$F$48,IF(AND(H7&gt;=21,H7&lt;=30),K7*$G$48,K7*$H$48))</f>
        <v>61057.5</v>
      </c>
      <c r="M7" s="46">
        <f>K7-L7</f>
        <v>1160092.5</v>
      </c>
      <c r="N7" s="47">
        <f t="shared" ref="N7:N36" si="9">IF(M7&gt;=90000,M7*$F$49,M7*0%)</f>
        <v>220417.57500000001</v>
      </c>
      <c r="O7" s="6">
        <f t="shared" ref="O7:O36" si="10">IF(M7&lt;=400000,M7*$F$50,M7*0%)</f>
        <v>0</v>
      </c>
      <c r="P7" s="42">
        <f>M7+N7-O7</f>
        <v>1380510.075</v>
      </c>
      <c r="Q7" s="42" t="str">
        <f t="shared" ref="Q7:Q44" si="11">IF(ISBLANK(A7),"",IF(ISERROR(VLOOKUP(A7,bdpapeleria,11,FALSE)),"El dato no existe",VLOOKUP(A7,bdpapeleria,11,FALSE)))</f>
        <v>CONTADO</v>
      </c>
      <c r="R7" s="42" t="str">
        <f>IF(I7&gt;=15,"Mala Demanda","Buena Demanda")</f>
        <v>Buena Demanda</v>
      </c>
    </row>
    <row r="8" spans="1:18" ht="40.5" customHeight="1" x14ac:dyDescent="0.25">
      <c r="A8" s="3">
        <v>702</v>
      </c>
      <c r="B8" s="3" t="str">
        <f t="shared" si="0"/>
        <v>890480054-5</v>
      </c>
      <c r="C8" s="39" t="str">
        <f t="shared" ref="C8:C36" si="12">IF(ISBLANK(A8),"",IF(ISERROR(VLOOKUP(A8,bdpapeleria,3,FALSE)),"El dato no existe",VLOOKUP(A8,bdpapeleria,3,FALSE)))</f>
        <v xml:space="preserve">CORPORACION CENTRO TÉCNICO ARQUITETÓNICO </v>
      </c>
      <c r="D8" s="4">
        <f t="shared" si="1"/>
        <v>3293333</v>
      </c>
      <c r="E8" s="4" t="str">
        <f t="shared" si="2"/>
        <v>Avda 30 de Agosto N° 52-236</v>
      </c>
      <c r="F8" s="3" t="str">
        <f t="shared" si="3"/>
        <v>Risaralda</v>
      </c>
      <c r="G8" s="39" t="str">
        <f t="shared" si="4"/>
        <v xml:space="preserve">CAJA DE RESMAS TAMAÑO CARTA X 15 </v>
      </c>
      <c r="H8" s="3">
        <f t="shared" si="5"/>
        <v>20</v>
      </c>
      <c r="I8" s="3">
        <f t="shared" si="6"/>
        <v>15</v>
      </c>
      <c r="J8" s="3">
        <f t="shared" si="7"/>
        <v>25678</v>
      </c>
      <c r="K8" s="6">
        <f t="shared" ref="K8:K36" si="13">J8*H8</f>
        <v>513560</v>
      </c>
      <c r="L8" s="6">
        <f t="shared" si="8"/>
        <v>15406.8</v>
      </c>
      <c r="M8" s="46">
        <f>K8-L8</f>
        <v>498153.2</v>
      </c>
      <c r="N8" s="47">
        <f t="shared" si="9"/>
        <v>94649.108000000007</v>
      </c>
      <c r="O8" s="6">
        <f t="shared" si="10"/>
        <v>0</v>
      </c>
      <c r="P8" s="42">
        <f t="shared" ref="P8:P36" si="14">M8+N8-O8</f>
        <v>592802.30799999996</v>
      </c>
      <c r="Q8" s="42" t="str">
        <f t="shared" si="11"/>
        <v>CONTADO</v>
      </c>
      <c r="R8" s="42" t="str">
        <f t="shared" ref="R8:R36" si="15">IF(I8&gt;=15,"Mala Demanda","Buena Demanda")</f>
        <v>Mala Demanda</v>
      </c>
    </row>
    <row r="9" spans="1:18" ht="34.5" customHeight="1" x14ac:dyDescent="0.25">
      <c r="A9" s="3">
        <v>703</v>
      </c>
      <c r="B9" s="3" t="str">
        <f t="shared" si="0"/>
        <v>891411199-3</v>
      </c>
      <c r="C9" s="39" t="str">
        <f t="shared" si="12"/>
        <v>CORPORACIÓN EDUCATIVA -ITAE-</v>
      </c>
      <c r="D9" s="4">
        <f t="shared" si="1"/>
        <v>6642484</v>
      </c>
      <c r="E9" s="4" t="str">
        <f t="shared" si="2"/>
        <v>Centro Carrera 3 Calle de la factoria N°35-95</v>
      </c>
      <c r="F9" s="3" t="str">
        <f t="shared" si="3"/>
        <v>Bolivar</v>
      </c>
      <c r="G9" s="39" t="str">
        <f t="shared" si="4"/>
        <v xml:space="preserve">TALONARIO DE CAJA MENOR </v>
      </c>
      <c r="H9" s="3">
        <f t="shared" si="5"/>
        <v>40</v>
      </c>
      <c r="I9" s="3">
        <f t="shared" si="6"/>
        <v>10</v>
      </c>
      <c r="J9" s="3">
        <f t="shared" si="7"/>
        <v>900</v>
      </c>
      <c r="K9" s="6">
        <f t="shared" si="13"/>
        <v>36000</v>
      </c>
      <c r="L9" s="6">
        <f t="shared" si="8"/>
        <v>1800</v>
      </c>
      <c r="M9" s="46">
        <f t="shared" ref="M9:M36" si="16">K9-L9</f>
        <v>34200</v>
      </c>
      <c r="N9" s="47">
        <f t="shared" si="9"/>
        <v>0</v>
      </c>
      <c r="O9" s="6">
        <f t="shared" si="10"/>
        <v>1197.0000000000002</v>
      </c>
      <c r="P9" s="42">
        <f t="shared" si="14"/>
        <v>33003</v>
      </c>
      <c r="Q9" s="42" t="str">
        <f t="shared" si="11"/>
        <v>CRÉDITO</v>
      </c>
      <c r="R9" s="42" t="str">
        <f t="shared" si="15"/>
        <v>Buena Demanda</v>
      </c>
    </row>
    <row r="10" spans="1:18" ht="34.5" customHeight="1" x14ac:dyDescent="0.25">
      <c r="A10" s="3">
        <v>704</v>
      </c>
      <c r="B10" s="3" t="str">
        <f t="shared" si="0"/>
        <v>8900704562-9</v>
      </c>
      <c r="C10" s="39" t="str">
        <f t="shared" si="12"/>
        <v>CORPORACIÓN ESCUELA DE ARTES Y LETRAS</v>
      </c>
      <c r="D10" s="4">
        <f t="shared" si="1"/>
        <v>2134421</v>
      </c>
      <c r="E10" s="4" t="str">
        <f t="shared" si="2"/>
        <v xml:space="preserve">Calle 10 N° 29-93 </v>
      </c>
      <c r="F10" s="3" t="str">
        <f t="shared" si="3"/>
        <v>Tolima</v>
      </c>
      <c r="G10" s="39" t="str">
        <f t="shared" si="4"/>
        <v>CUADERNO ARGOLLADO</v>
      </c>
      <c r="H10" s="3">
        <f t="shared" si="5"/>
        <v>22</v>
      </c>
      <c r="I10" s="3">
        <f t="shared" si="6"/>
        <v>8</v>
      </c>
      <c r="J10" s="3">
        <f t="shared" si="7"/>
        <v>10900</v>
      </c>
      <c r="K10" s="6">
        <f t="shared" si="13"/>
        <v>239800</v>
      </c>
      <c r="L10" s="6">
        <f t="shared" si="8"/>
        <v>10791</v>
      </c>
      <c r="M10" s="46">
        <f t="shared" si="16"/>
        <v>229009</v>
      </c>
      <c r="N10" s="47">
        <f t="shared" si="9"/>
        <v>43511.71</v>
      </c>
      <c r="O10" s="6">
        <f t="shared" si="10"/>
        <v>8015.3150000000005</v>
      </c>
      <c r="P10" s="42">
        <f t="shared" si="14"/>
        <v>264505.39500000002</v>
      </c>
      <c r="Q10" s="42" t="str">
        <f t="shared" si="11"/>
        <v>CRÉDITO</v>
      </c>
      <c r="R10" s="42" t="str">
        <f t="shared" si="15"/>
        <v>Buena Demanda</v>
      </c>
    </row>
    <row r="11" spans="1:18" ht="34.5" customHeight="1" x14ac:dyDescent="0.25">
      <c r="A11" s="3">
        <v>705</v>
      </c>
      <c r="B11" s="3" t="str">
        <f t="shared" si="0"/>
        <v>890203706-2</v>
      </c>
      <c r="C11" s="39" t="str">
        <f t="shared" si="12"/>
        <v>UNIVERSIDAD CATÓLICA LUIS AMIGÓ</v>
      </c>
      <c r="D11" s="4">
        <f t="shared" si="1"/>
        <v>6525202</v>
      </c>
      <c r="E11" s="4" t="str">
        <f t="shared" si="2"/>
        <v>Calle 10 N° 3-95</v>
      </c>
      <c r="F11" s="3" t="str">
        <f t="shared" si="3"/>
        <v>Antioquia</v>
      </c>
      <c r="G11" s="39" t="str">
        <f t="shared" si="4"/>
        <v>CARPETAS PARA ARCHIVO TAMAÑO OFICIO</v>
      </c>
      <c r="H11" s="3">
        <f t="shared" si="5"/>
        <v>43</v>
      </c>
      <c r="I11" s="3">
        <f t="shared" si="6"/>
        <v>30</v>
      </c>
      <c r="J11" s="3">
        <f t="shared" si="7"/>
        <v>7100</v>
      </c>
      <c r="K11" s="6">
        <f t="shared" si="13"/>
        <v>305300</v>
      </c>
      <c r="L11" s="6">
        <f t="shared" si="8"/>
        <v>15265</v>
      </c>
      <c r="M11" s="46">
        <f t="shared" si="16"/>
        <v>290035</v>
      </c>
      <c r="N11" s="47">
        <f t="shared" si="9"/>
        <v>55106.65</v>
      </c>
      <c r="O11" s="6">
        <f t="shared" si="10"/>
        <v>10151.225</v>
      </c>
      <c r="P11" s="42">
        <f t="shared" si="14"/>
        <v>334990.42500000005</v>
      </c>
      <c r="Q11" s="42" t="str">
        <f t="shared" si="11"/>
        <v>CRÉDITO</v>
      </c>
      <c r="R11" s="42" t="str">
        <f t="shared" si="15"/>
        <v>Mala Demanda</v>
      </c>
    </row>
    <row r="12" spans="1:18" ht="34.5" customHeight="1" x14ac:dyDescent="0.25">
      <c r="A12" s="3">
        <v>706</v>
      </c>
      <c r="B12" s="3" t="str">
        <f t="shared" si="0"/>
        <v>891408248-5</v>
      </c>
      <c r="C12" s="39" t="str">
        <f t="shared" si="12"/>
        <v>CORPORACIÓN JOHN F.KENNEDY</v>
      </c>
      <c r="D12" s="4">
        <f t="shared" si="1"/>
        <v>6505400</v>
      </c>
      <c r="E12" s="4" t="str">
        <f t="shared" si="2"/>
        <v>Calle 74 N° 11-92</v>
      </c>
      <c r="F12" s="3" t="str">
        <f t="shared" si="3"/>
        <v>Cundinamarca</v>
      </c>
      <c r="G12" s="39" t="str">
        <f t="shared" si="4"/>
        <v>CAJA DE COLORES NORMA</v>
      </c>
      <c r="H12" s="3">
        <f t="shared" si="5"/>
        <v>12</v>
      </c>
      <c r="I12" s="3">
        <f t="shared" si="6"/>
        <v>5</v>
      </c>
      <c r="J12" s="3">
        <f t="shared" si="7"/>
        <v>9500</v>
      </c>
      <c r="K12" s="6">
        <f t="shared" si="13"/>
        <v>114000</v>
      </c>
      <c r="L12" s="6">
        <f t="shared" si="8"/>
        <v>3420</v>
      </c>
      <c r="M12" s="46">
        <f t="shared" si="16"/>
        <v>110580</v>
      </c>
      <c r="N12" s="47">
        <f t="shared" si="9"/>
        <v>21010.2</v>
      </c>
      <c r="O12" s="6">
        <f t="shared" si="10"/>
        <v>3870.3</v>
      </c>
      <c r="P12" s="42">
        <f t="shared" si="14"/>
        <v>127719.90000000001</v>
      </c>
      <c r="Q12" s="42" t="str">
        <f t="shared" si="11"/>
        <v>CONTADO</v>
      </c>
      <c r="R12" s="42" t="str">
        <f t="shared" si="15"/>
        <v>Buena Demanda</v>
      </c>
    </row>
    <row r="13" spans="1:18" ht="34.5" customHeight="1" x14ac:dyDescent="0.25">
      <c r="A13" s="3">
        <v>707</v>
      </c>
      <c r="B13" s="3" t="str">
        <f t="shared" si="0"/>
        <v>860066098-5</v>
      </c>
      <c r="C13" s="39" t="str">
        <f t="shared" si="12"/>
        <v>CORPORACIÓN UNVIERSITARIA CENDA</v>
      </c>
      <c r="D13" s="4">
        <f t="shared" si="1"/>
        <v>3400100</v>
      </c>
      <c r="E13" s="4" t="str">
        <f t="shared" si="2"/>
        <v>Carrera 14 N° 12-42</v>
      </c>
      <c r="F13" s="3" t="str">
        <f t="shared" si="3"/>
        <v>Risaralda</v>
      </c>
      <c r="G13" s="39" t="str">
        <f t="shared" si="4"/>
        <v>VINILOS PRISMACOLOR</v>
      </c>
      <c r="H13" s="3">
        <f t="shared" si="5"/>
        <v>25</v>
      </c>
      <c r="I13" s="3">
        <f t="shared" si="6"/>
        <v>3</v>
      </c>
      <c r="J13" s="3">
        <f t="shared" si="7"/>
        <v>1000</v>
      </c>
      <c r="K13" s="6">
        <f t="shared" si="13"/>
        <v>25000</v>
      </c>
      <c r="L13" s="6">
        <f t="shared" si="8"/>
        <v>1125</v>
      </c>
      <c r="M13" s="46">
        <f t="shared" si="16"/>
        <v>23875</v>
      </c>
      <c r="N13" s="47">
        <f t="shared" si="9"/>
        <v>0</v>
      </c>
      <c r="O13" s="6">
        <f t="shared" si="10"/>
        <v>835.62500000000011</v>
      </c>
      <c r="P13" s="42">
        <f t="shared" si="14"/>
        <v>23039.375</v>
      </c>
      <c r="Q13" s="42" t="str">
        <f t="shared" si="11"/>
        <v>CONTADO</v>
      </c>
      <c r="R13" s="42" t="str">
        <f t="shared" si="15"/>
        <v>Buena Demanda</v>
      </c>
    </row>
    <row r="14" spans="1:18" ht="34.5" customHeight="1" x14ac:dyDescent="0.25">
      <c r="A14" s="3">
        <v>708</v>
      </c>
      <c r="B14" s="3" t="str">
        <f t="shared" si="0"/>
        <v>860504543-1</v>
      </c>
      <c r="C14" s="39" t="str">
        <f t="shared" si="12"/>
        <v>CORPORACIÓN UNIVERSITARIA MARÍA</v>
      </c>
      <c r="D14" s="4">
        <f t="shared" si="1"/>
        <v>5446573</v>
      </c>
      <c r="E14" s="4" t="str">
        <f t="shared" si="2"/>
        <v>Carrera 23 N° 63-36</v>
      </c>
      <c r="F14" s="3" t="str">
        <f t="shared" si="3"/>
        <v>Risaralda</v>
      </c>
      <c r="G14" s="39" t="str">
        <f t="shared" si="4"/>
        <v>LIBRO CONTABLE</v>
      </c>
      <c r="H14" s="3">
        <f t="shared" si="5"/>
        <v>15</v>
      </c>
      <c r="I14" s="3">
        <f t="shared" si="6"/>
        <v>30</v>
      </c>
      <c r="J14" s="3">
        <f t="shared" si="7"/>
        <v>4500</v>
      </c>
      <c r="K14" s="6">
        <f t="shared" si="13"/>
        <v>67500</v>
      </c>
      <c r="L14" s="6">
        <f t="shared" si="8"/>
        <v>2025</v>
      </c>
      <c r="M14" s="46">
        <f t="shared" si="16"/>
        <v>65475</v>
      </c>
      <c r="N14" s="47">
        <f t="shared" si="9"/>
        <v>0</v>
      </c>
      <c r="O14" s="6">
        <f t="shared" si="10"/>
        <v>2291.625</v>
      </c>
      <c r="P14" s="42">
        <f t="shared" si="14"/>
        <v>63183.375</v>
      </c>
      <c r="Q14" s="42" t="str">
        <f t="shared" si="11"/>
        <v>CONTADO</v>
      </c>
      <c r="R14" s="42" t="str">
        <f t="shared" si="15"/>
        <v>Mala Demanda</v>
      </c>
    </row>
    <row r="15" spans="1:18" ht="34.5" customHeight="1" x14ac:dyDescent="0.25">
      <c r="A15" s="3">
        <v>709</v>
      </c>
      <c r="B15" s="3" t="str">
        <f t="shared" si="0"/>
        <v>8605008517-8</v>
      </c>
      <c r="C15" s="39" t="str">
        <f t="shared" si="12"/>
        <v>UNIVERSIDAD ECCI</v>
      </c>
      <c r="D15" s="4">
        <f t="shared" si="1"/>
        <v>3689618</v>
      </c>
      <c r="E15" s="4" t="str">
        <f t="shared" si="2"/>
        <v>Calle 41 N° 27A-56</v>
      </c>
      <c r="F15" s="3" t="str">
        <f t="shared" si="3"/>
        <v>Bolivar</v>
      </c>
      <c r="G15" s="39" t="str">
        <f t="shared" si="4"/>
        <v>CAJA DE COLORES NORMA</v>
      </c>
      <c r="H15" s="3">
        <f t="shared" si="5"/>
        <v>28</v>
      </c>
      <c r="I15" s="3">
        <f t="shared" si="6"/>
        <v>8</v>
      </c>
      <c r="J15" s="3">
        <f t="shared" si="7"/>
        <v>9500</v>
      </c>
      <c r="K15" s="6">
        <f t="shared" si="13"/>
        <v>266000</v>
      </c>
      <c r="L15" s="6">
        <f t="shared" si="8"/>
        <v>11970</v>
      </c>
      <c r="M15" s="46">
        <f t="shared" si="16"/>
        <v>254030</v>
      </c>
      <c r="N15" s="47">
        <f t="shared" si="9"/>
        <v>48265.7</v>
      </c>
      <c r="O15" s="6">
        <f t="shared" si="10"/>
        <v>8891.0500000000011</v>
      </c>
      <c r="P15" s="42">
        <f t="shared" si="14"/>
        <v>293404.65000000002</v>
      </c>
      <c r="Q15" s="42" t="str">
        <f t="shared" si="11"/>
        <v>CRÉDITO</v>
      </c>
      <c r="R15" s="42" t="str">
        <f t="shared" si="15"/>
        <v>Buena Demanda</v>
      </c>
    </row>
    <row r="16" spans="1:18" ht="34.5" customHeight="1" x14ac:dyDescent="0.25">
      <c r="A16" s="3">
        <v>710</v>
      </c>
      <c r="B16" s="3" t="str">
        <f t="shared" si="0"/>
        <v>890985856-3</v>
      </c>
      <c r="C16" s="39" t="str">
        <f t="shared" si="12"/>
        <v>ESCUELA COLOMBIANA DE  INGENIERIA</v>
      </c>
      <c r="D16" s="4">
        <f t="shared" si="1"/>
        <v>2451333</v>
      </c>
      <c r="E16" s="4" t="str">
        <f t="shared" si="2"/>
        <v>Calle 46 N° 13-43</v>
      </c>
      <c r="F16" s="3" t="str">
        <f t="shared" si="3"/>
        <v>Valle del Cauca</v>
      </c>
      <c r="G16" s="39" t="str">
        <f t="shared" si="4"/>
        <v xml:space="preserve">CAJA DE RESMAS TAMAÑO OFICIO </v>
      </c>
      <c r="H16" s="3">
        <f t="shared" si="5"/>
        <v>35</v>
      </c>
      <c r="I16" s="3">
        <f t="shared" si="6"/>
        <v>6</v>
      </c>
      <c r="J16" s="3">
        <f t="shared" si="7"/>
        <v>34890</v>
      </c>
      <c r="K16" s="6">
        <f t="shared" si="13"/>
        <v>1221150</v>
      </c>
      <c r="L16" s="6">
        <f t="shared" si="8"/>
        <v>61057.5</v>
      </c>
      <c r="M16" s="46">
        <f t="shared" si="16"/>
        <v>1160092.5</v>
      </c>
      <c r="N16" s="47">
        <f t="shared" si="9"/>
        <v>220417.57500000001</v>
      </c>
      <c r="O16" s="6">
        <f t="shared" si="10"/>
        <v>0</v>
      </c>
      <c r="P16" s="42">
        <f t="shared" si="14"/>
        <v>1380510.075</v>
      </c>
      <c r="Q16" s="42" t="str">
        <f t="shared" si="11"/>
        <v>CRÉDITO</v>
      </c>
      <c r="R16" s="42" t="str">
        <f t="shared" si="15"/>
        <v>Buena Demanda</v>
      </c>
    </row>
    <row r="17" spans="1:18" ht="34.5" customHeight="1" x14ac:dyDescent="0.25">
      <c r="A17" s="3">
        <v>711</v>
      </c>
      <c r="B17" s="3" t="str">
        <f t="shared" si="0"/>
        <v>800003863-5</v>
      </c>
      <c r="C17" s="39" t="str">
        <f t="shared" si="12"/>
        <v>ESCUELA NACIONAL DE DEPORTE</v>
      </c>
      <c r="D17" s="4">
        <f t="shared" si="1"/>
        <v>2826786</v>
      </c>
      <c r="E17" s="4" t="str">
        <f t="shared" si="2"/>
        <v>Calle 19 N° 3-16</v>
      </c>
      <c r="F17" s="3" t="str">
        <f t="shared" si="3"/>
        <v>Santander</v>
      </c>
      <c r="G17" s="39" t="str">
        <f t="shared" si="4"/>
        <v>LIBRO CONTABLE</v>
      </c>
      <c r="H17" s="3">
        <f t="shared" si="5"/>
        <v>45</v>
      </c>
      <c r="I17" s="3">
        <f t="shared" si="6"/>
        <v>30</v>
      </c>
      <c r="J17" s="3">
        <f t="shared" si="7"/>
        <v>4500</v>
      </c>
      <c r="K17" s="6">
        <f t="shared" si="13"/>
        <v>202500</v>
      </c>
      <c r="L17" s="6">
        <f t="shared" si="8"/>
        <v>10125</v>
      </c>
      <c r="M17" s="46">
        <f t="shared" si="16"/>
        <v>192375</v>
      </c>
      <c r="N17" s="47">
        <f t="shared" si="9"/>
        <v>36551.25</v>
      </c>
      <c r="O17" s="6">
        <f t="shared" si="10"/>
        <v>6733.1250000000009</v>
      </c>
      <c r="P17" s="42">
        <f t="shared" si="14"/>
        <v>222193.125</v>
      </c>
      <c r="Q17" s="42" t="str">
        <f t="shared" si="11"/>
        <v>CONTADO</v>
      </c>
      <c r="R17" s="42" t="str">
        <f t="shared" si="15"/>
        <v>Mala Demanda</v>
      </c>
    </row>
    <row r="18" spans="1:18" ht="34.5" customHeight="1" x14ac:dyDescent="0.25">
      <c r="A18" s="3">
        <v>712</v>
      </c>
      <c r="B18" s="3" t="str">
        <f t="shared" si="0"/>
        <v>860401734-9</v>
      </c>
      <c r="C18" s="39" t="str">
        <f t="shared" si="12"/>
        <v>UNIVERSIDAD NACIONAL</v>
      </c>
      <c r="D18" s="4">
        <f t="shared" si="1"/>
        <v>4500040</v>
      </c>
      <c r="E18" s="4" t="str">
        <f t="shared" si="2"/>
        <v>Calle 48 N° 50-30</v>
      </c>
      <c r="F18" s="3" t="str">
        <f t="shared" si="3"/>
        <v>Antioquia</v>
      </c>
      <c r="G18" s="39" t="str">
        <f t="shared" si="4"/>
        <v>ROLLOS PARA IMPRESORA DE CAJA X 6 U.</v>
      </c>
      <c r="H18" s="3">
        <f t="shared" si="5"/>
        <v>42</v>
      </c>
      <c r="I18" s="3">
        <f t="shared" si="6"/>
        <v>4</v>
      </c>
      <c r="J18" s="3">
        <f t="shared" si="7"/>
        <v>7654</v>
      </c>
      <c r="K18" s="6">
        <f t="shared" si="13"/>
        <v>321468</v>
      </c>
      <c r="L18" s="6">
        <f t="shared" si="8"/>
        <v>16073.400000000001</v>
      </c>
      <c r="M18" s="46">
        <f t="shared" si="16"/>
        <v>305394.59999999998</v>
      </c>
      <c r="N18" s="47">
        <f t="shared" si="9"/>
        <v>58024.973999999995</v>
      </c>
      <c r="O18" s="6">
        <f t="shared" si="10"/>
        <v>10688.811</v>
      </c>
      <c r="P18" s="42">
        <f t="shared" si="14"/>
        <v>352730.76299999998</v>
      </c>
      <c r="Q18" s="42" t="str">
        <f t="shared" si="11"/>
        <v>CONTADO</v>
      </c>
      <c r="R18" s="42" t="str">
        <f t="shared" si="15"/>
        <v>Buena Demanda</v>
      </c>
    </row>
    <row r="19" spans="1:18" ht="46.5" customHeight="1" x14ac:dyDescent="0.25">
      <c r="A19" s="3">
        <v>713</v>
      </c>
      <c r="B19" s="3" t="str">
        <f t="shared" si="0"/>
        <v>864366098-5</v>
      </c>
      <c r="C19" s="39" t="str">
        <f t="shared" si="12"/>
        <v xml:space="preserve">FUNDACIÓN UNIVERSITARIA AUTONOMA </v>
      </c>
      <c r="D19" s="4">
        <f t="shared" si="1"/>
        <v>3078180</v>
      </c>
      <c r="E19" s="4" t="str">
        <f t="shared" si="2"/>
        <v>Calle 34 N° 15-36</v>
      </c>
      <c r="F19" s="3" t="str">
        <f t="shared" si="3"/>
        <v>Risaralda</v>
      </c>
      <c r="G19" s="39" t="str">
        <f t="shared" si="4"/>
        <v>ROLLOS PARA IMPRESORA DE CAJA X 6 U.</v>
      </c>
      <c r="H19" s="3">
        <f t="shared" si="5"/>
        <v>20</v>
      </c>
      <c r="I19" s="3">
        <f t="shared" si="6"/>
        <v>4</v>
      </c>
      <c r="J19" s="3">
        <f t="shared" si="7"/>
        <v>7654</v>
      </c>
      <c r="K19" s="6">
        <f t="shared" si="13"/>
        <v>153080</v>
      </c>
      <c r="L19" s="6">
        <f t="shared" si="8"/>
        <v>4592.3999999999996</v>
      </c>
      <c r="M19" s="46">
        <f t="shared" si="16"/>
        <v>148487.6</v>
      </c>
      <c r="N19" s="47">
        <f t="shared" si="9"/>
        <v>28212.644</v>
      </c>
      <c r="O19" s="6">
        <f t="shared" si="10"/>
        <v>5197.0660000000007</v>
      </c>
      <c r="P19" s="42">
        <f t="shared" si="14"/>
        <v>171503.17800000001</v>
      </c>
      <c r="Q19" s="42" t="str">
        <f t="shared" si="11"/>
        <v>CRÉDITO</v>
      </c>
      <c r="R19" s="42" t="str">
        <f t="shared" si="15"/>
        <v>Buena Demanda</v>
      </c>
    </row>
    <row r="20" spans="1:18" ht="34.5" customHeight="1" x14ac:dyDescent="0.25">
      <c r="A20" s="3">
        <v>714</v>
      </c>
      <c r="B20" s="3" t="str">
        <f t="shared" si="0"/>
        <v>862504543-1</v>
      </c>
      <c r="C20" s="39" t="str">
        <f t="shared" si="12"/>
        <v>CORPORACION ARTES Y OFICIOS</v>
      </c>
      <c r="D20" s="4">
        <f t="shared" si="1"/>
        <v>2321617</v>
      </c>
      <c r="E20" s="4" t="str">
        <f t="shared" si="2"/>
        <v>Calle 33 N° 11-50</v>
      </c>
      <c r="F20" s="3" t="str">
        <f t="shared" si="3"/>
        <v>Nariño</v>
      </c>
      <c r="G20" s="39" t="str">
        <f t="shared" si="4"/>
        <v>BLOCK TAMAÑO CARTA</v>
      </c>
      <c r="H20" s="3">
        <f t="shared" si="5"/>
        <v>29</v>
      </c>
      <c r="I20" s="3">
        <f t="shared" si="6"/>
        <v>2</v>
      </c>
      <c r="J20" s="3">
        <f t="shared" si="7"/>
        <v>2400</v>
      </c>
      <c r="K20" s="6">
        <f t="shared" si="13"/>
        <v>69600</v>
      </c>
      <c r="L20" s="6">
        <f t="shared" si="8"/>
        <v>3132</v>
      </c>
      <c r="M20" s="46">
        <f t="shared" si="16"/>
        <v>66468</v>
      </c>
      <c r="N20" s="47">
        <f t="shared" si="9"/>
        <v>0</v>
      </c>
      <c r="O20" s="6">
        <f t="shared" si="10"/>
        <v>2326.38</v>
      </c>
      <c r="P20" s="42">
        <f t="shared" si="14"/>
        <v>64141.62</v>
      </c>
      <c r="Q20" s="42" t="str">
        <f t="shared" si="11"/>
        <v>CONTADO</v>
      </c>
      <c r="R20" s="42" t="str">
        <f t="shared" si="15"/>
        <v>Buena Demanda</v>
      </c>
    </row>
    <row r="21" spans="1:18" ht="34.5" customHeight="1" x14ac:dyDescent="0.25">
      <c r="A21" s="3">
        <v>715</v>
      </c>
      <c r="B21" s="3" t="str">
        <f t="shared" si="0"/>
        <v>8607108517-8</v>
      </c>
      <c r="C21" s="39" t="str">
        <f t="shared" si="12"/>
        <v>CASA DE LA CULTURA PEDRITO RUIZ</v>
      </c>
      <c r="D21" s="4">
        <f t="shared" si="1"/>
        <v>3232964</v>
      </c>
      <c r="E21" s="4" t="str">
        <f t="shared" si="2"/>
        <v>Carrera 9 N° 45 A-44</v>
      </c>
      <c r="F21" s="3" t="str">
        <f t="shared" si="3"/>
        <v>Valle del Cauca</v>
      </c>
      <c r="G21" s="39" t="str">
        <f t="shared" si="4"/>
        <v>GRAPADORA MEDIANA</v>
      </c>
      <c r="H21" s="3">
        <f t="shared" si="5"/>
        <v>30</v>
      </c>
      <c r="I21" s="3">
        <f t="shared" si="6"/>
        <v>30</v>
      </c>
      <c r="J21" s="3">
        <f t="shared" si="7"/>
        <v>4708</v>
      </c>
      <c r="K21" s="6">
        <f t="shared" si="13"/>
        <v>141240</v>
      </c>
      <c r="L21" s="6">
        <f t="shared" si="8"/>
        <v>6355.8</v>
      </c>
      <c r="M21" s="46">
        <f t="shared" si="16"/>
        <v>134884.20000000001</v>
      </c>
      <c r="N21" s="47">
        <f t="shared" si="9"/>
        <v>25627.998000000003</v>
      </c>
      <c r="O21" s="6">
        <f t="shared" si="10"/>
        <v>4720.947000000001</v>
      </c>
      <c r="P21" s="42">
        <f t="shared" si="14"/>
        <v>155791.25099999999</v>
      </c>
      <c r="Q21" s="42" t="str">
        <f t="shared" si="11"/>
        <v>CRÉDITO</v>
      </c>
      <c r="R21" s="42" t="str">
        <f t="shared" si="15"/>
        <v>Mala Demanda</v>
      </c>
    </row>
    <row r="22" spans="1:18" ht="46.5" customHeight="1" x14ac:dyDescent="0.25">
      <c r="A22" s="3">
        <v>716</v>
      </c>
      <c r="B22" s="3" t="str">
        <f t="shared" si="0"/>
        <v>891995856-3</v>
      </c>
      <c r="C22" s="39" t="str">
        <f t="shared" si="12"/>
        <v>FUNDACIÓN UNIVERSITARIA SAN MARTIN</v>
      </c>
      <c r="D22" s="4">
        <f t="shared" si="1"/>
        <v>7232452</v>
      </c>
      <c r="E22" s="4" t="str">
        <f t="shared" si="2"/>
        <v>Carrera 28 N° 19-24</v>
      </c>
      <c r="F22" s="3" t="str">
        <f t="shared" si="3"/>
        <v>Cundinamarca</v>
      </c>
      <c r="G22" s="39" t="str">
        <f t="shared" si="4"/>
        <v>BLOCK TAMAÑO CARTA</v>
      </c>
      <c r="H22" s="3">
        <f t="shared" si="5"/>
        <v>25</v>
      </c>
      <c r="I22" s="3">
        <f t="shared" si="6"/>
        <v>7</v>
      </c>
      <c r="J22" s="3">
        <f t="shared" si="7"/>
        <v>2400</v>
      </c>
      <c r="K22" s="6">
        <f t="shared" si="13"/>
        <v>60000</v>
      </c>
      <c r="L22" s="6">
        <f t="shared" si="8"/>
        <v>2700</v>
      </c>
      <c r="M22" s="46">
        <f t="shared" si="16"/>
        <v>57300</v>
      </c>
      <c r="N22" s="47">
        <f t="shared" si="9"/>
        <v>0</v>
      </c>
      <c r="O22" s="6">
        <f t="shared" si="10"/>
        <v>2005.5000000000002</v>
      </c>
      <c r="P22" s="42">
        <f t="shared" si="14"/>
        <v>55294.5</v>
      </c>
      <c r="Q22" s="42" t="str">
        <f t="shared" si="11"/>
        <v>CONTADO</v>
      </c>
      <c r="R22" s="42" t="str">
        <f t="shared" si="15"/>
        <v>Buena Demanda</v>
      </c>
    </row>
    <row r="23" spans="1:18" ht="34.5" customHeight="1" x14ac:dyDescent="0.25">
      <c r="A23" s="3">
        <v>717</v>
      </c>
      <c r="B23" s="3" t="str">
        <f t="shared" si="0"/>
        <v>800203863-5</v>
      </c>
      <c r="C23" s="39" t="str">
        <f t="shared" si="12"/>
        <v>INSTITUCIÓN UNIVERSITARIA ESCOLME</v>
      </c>
      <c r="D23" s="4">
        <f t="shared" si="1"/>
        <v>8213000</v>
      </c>
      <c r="E23" s="4" t="str">
        <f t="shared" si="2"/>
        <v>Calle 5 N° 3-85</v>
      </c>
      <c r="F23" s="3" t="str">
        <f t="shared" si="3"/>
        <v>Cundinamarca</v>
      </c>
      <c r="G23" s="39" t="str">
        <f t="shared" si="4"/>
        <v>CAJA LAPIZ MIRADO No. 2   X12 U</v>
      </c>
      <c r="H23" s="3">
        <f t="shared" si="5"/>
        <v>35</v>
      </c>
      <c r="I23" s="3">
        <f t="shared" si="6"/>
        <v>15</v>
      </c>
      <c r="J23" s="3">
        <f t="shared" si="7"/>
        <v>7680</v>
      </c>
      <c r="K23" s="6">
        <f t="shared" si="13"/>
        <v>268800</v>
      </c>
      <c r="L23" s="6">
        <f t="shared" si="8"/>
        <v>13440</v>
      </c>
      <c r="M23" s="46">
        <f t="shared" si="16"/>
        <v>255360</v>
      </c>
      <c r="N23" s="47">
        <f t="shared" si="9"/>
        <v>48518.400000000001</v>
      </c>
      <c r="O23" s="6">
        <f t="shared" si="10"/>
        <v>8937.6</v>
      </c>
      <c r="P23" s="42">
        <f t="shared" si="14"/>
        <v>294940.80000000005</v>
      </c>
      <c r="Q23" s="42" t="str">
        <f t="shared" si="11"/>
        <v>CRÉDITO</v>
      </c>
      <c r="R23" s="42" t="str">
        <f t="shared" si="15"/>
        <v>Mala Demanda</v>
      </c>
    </row>
    <row r="24" spans="1:18" ht="34.5" customHeight="1" x14ac:dyDescent="0.25">
      <c r="A24" s="3">
        <v>718</v>
      </c>
      <c r="B24" s="3" t="str">
        <f t="shared" si="0"/>
        <v>860421734-9</v>
      </c>
      <c r="C24" s="39" t="str">
        <f t="shared" si="12"/>
        <v>FUNDACIÓN UNIVERSITARIA INPAHU</v>
      </c>
      <c r="D24" s="4">
        <f t="shared" si="1"/>
        <v>2459170</v>
      </c>
      <c r="E24" s="4" t="str">
        <f t="shared" si="2"/>
        <v>Calle 30 N° 35-18</v>
      </c>
      <c r="F24" s="3" t="str">
        <f t="shared" si="3"/>
        <v>Atlántico</v>
      </c>
      <c r="G24" s="39" t="str">
        <f t="shared" si="4"/>
        <v>GRAPADORA PEQUEÑA</v>
      </c>
      <c r="H24" s="3">
        <f t="shared" si="5"/>
        <v>37</v>
      </c>
      <c r="I24" s="3">
        <f t="shared" si="6"/>
        <v>30</v>
      </c>
      <c r="J24" s="3">
        <f t="shared" si="7"/>
        <v>2456</v>
      </c>
      <c r="K24" s="6">
        <f t="shared" si="13"/>
        <v>90872</v>
      </c>
      <c r="L24" s="6">
        <f t="shared" si="8"/>
        <v>4543.6000000000004</v>
      </c>
      <c r="M24" s="46">
        <f t="shared" si="16"/>
        <v>86328.4</v>
      </c>
      <c r="N24" s="47">
        <f t="shared" si="9"/>
        <v>0</v>
      </c>
      <c r="O24" s="6">
        <f t="shared" si="10"/>
        <v>3021.4940000000001</v>
      </c>
      <c r="P24" s="42">
        <f t="shared" si="14"/>
        <v>83306.905999999988</v>
      </c>
      <c r="Q24" s="42" t="str">
        <f t="shared" si="11"/>
        <v>CONTADO</v>
      </c>
      <c r="R24" s="42" t="str">
        <f t="shared" si="15"/>
        <v>Mala Demanda</v>
      </c>
    </row>
    <row r="25" spans="1:18" ht="34.5" customHeight="1" x14ac:dyDescent="0.25">
      <c r="A25" s="3">
        <v>719</v>
      </c>
      <c r="B25" s="3" t="str">
        <f t="shared" si="0"/>
        <v>890310903-5</v>
      </c>
      <c r="C25" s="39" t="str">
        <f t="shared" si="12"/>
        <v>UNIVERSIDAD DE ANTIOQUIA</v>
      </c>
      <c r="D25" s="4">
        <f t="shared" si="1"/>
        <v>8213000</v>
      </c>
      <c r="E25" s="4" t="str">
        <f t="shared" si="2"/>
        <v>Calle 5 N° 3-85</v>
      </c>
      <c r="F25" s="3" t="str">
        <f t="shared" si="3"/>
        <v>Antioquia</v>
      </c>
      <c r="G25" s="39" t="str">
        <f t="shared" si="4"/>
        <v>BLOCK TAMAÑO CARTA</v>
      </c>
      <c r="H25" s="3">
        <f t="shared" si="5"/>
        <v>30</v>
      </c>
      <c r="I25" s="3">
        <f t="shared" si="6"/>
        <v>5</v>
      </c>
      <c r="J25" s="3">
        <f t="shared" si="7"/>
        <v>2400</v>
      </c>
      <c r="K25" s="6">
        <f t="shared" si="13"/>
        <v>72000</v>
      </c>
      <c r="L25" s="6">
        <f t="shared" si="8"/>
        <v>3240</v>
      </c>
      <c r="M25" s="46">
        <f t="shared" si="16"/>
        <v>68760</v>
      </c>
      <c r="N25" s="47">
        <f t="shared" si="9"/>
        <v>0</v>
      </c>
      <c r="O25" s="6">
        <f t="shared" si="10"/>
        <v>2406.6000000000004</v>
      </c>
      <c r="P25" s="42">
        <f t="shared" si="14"/>
        <v>66353.399999999994</v>
      </c>
      <c r="Q25" s="42" t="str">
        <f t="shared" si="11"/>
        <v>CRÉDITO</v>
      </c>
      <c r="R25" s="42" t="str">
        <f t="shared" si="15"/>
        <v>Buena Demanda</v>
      </c>
    </row>
    <row r="26" spans="1:18" ht="34.5" customHeight="1" x14ac:dyDescent="0.25">
      <c r="A26" s="3">
        <v>720</v>
      </c>
      <c r="B26" s="3" t="str">
        <f t="shared" si="0"/>
        <v>890212433-5</v>
      </c>
      <c r="C26" s="39" t="str">
        <f t="shared" si="12"/>
        <v>UNIVERSIDAD TÉCNICO AGRÍCOLA ITA</v>
      </c>
      <c r="D26" s="4">
        <f t="shared" si="1"/>
        <v>3172267</v>
      </c>
      <c r="E26" s="4" t="str">
        <f t="shared" si="2"/>
        <v>Carrera 53 N° 59-70</v>
      </c>
      <c r="F26" s="3" t="str">
        <f t="shared" si="3"/>
        <v>Nariño</v>
      </c>
      <c r="G26" s="39" t="str">
        <f t="shared" si="4"/>
        <v>CAJA DE LAPICEROS KILOMETRICO X 12 U</v>
      </c>
      <c r="H26" s="3">
        <f t="shared" si="5"/>
        <v>45</v>
      </c>
      <c r="I26" s="3">
        <f t="shared" si="6"/>
        <v>3</v>
      </c>
      <c r="J26" s="3">
        <f t="shared" si="7"/>
        <v>3500</v>
      </c>
      <c r="K26" s="6">
        <f t="shared" si="13"/>
        <v>157500</v>
      </c>
      <c r="L26" s="6">
        <f t="shared" si="8"/>
        <v>7875</v>
      </c>
      <c r="M26" s="46">
        <f t="shared" si="16"/>
        <v>149625</v>
      </c>
      <c r="N26" s="47">
        <f t="shared" si="9"/>
        <v>28428.75</v>
      </c>
      <c r="O26" s="6">
        <f t="shared" si="10"/>
        <v>5236.8750000000009</v>
      </c>
      <c r="P26" s="42">
        <f t="shared" si="14"/>
        <v>172816.875</v>
      </c>
      <c r="Q26" s="42" t="str">
        <f t="shared" si="11"/>
        <v>CONTADO</v>
      </c>
      <c r="R26" s="42" t="str">
        <f t="shared" si="15"/>
        <v>Buena Demanda</v>
      </c>
    </row>
    <row r="27" spans="1:18" ht="34.5" customHeight="1" x14ac:dyDescent="0.25">
      <c r="A27" s="3">
        <v>721</v>
      </c>
      <c r="B27" s="3" t="str">
        <f t="shared" si="0"/>
        <v>823004609-9</v>
      </c>
      <c r="C27" s="39" t="str">
        <f t="shared" si="12"/>
        <v>INSTITUTO DEPARTAMENTAL ARTES</v>
      </c>
      <c r="D27" s="4">
        <f t="shared" si="1"/>
        <v>6061101</v>
      </c>
      <c r="E27" s="4" t="str">
        <f t="shared" si="2"/>
        <v>Calle 70 N° 10 A-39</v>
      </c>
      <c r="F27" s="3" t="str">
        <f t="shared" si="3"/>
        <v>Risaralda</v>
      </c>
      <c r="G27" s="39" t="str">
        <f t="shared" si="4"/>
        <v>CARPETAS PARA ARCHIVO TAMAÑO OFICIO</v>
      </c>
      <c r="H27" s="3">
        <f t="shared" si="5"/>
        <v>32</v>
      </c>
      <c r="I27" s="3">
        <f t="shared" si="6"/>
        <v>30</v>
      </c>
      <c r="J27" s="3">
        <f t="shared" si="7"/>
        <v>7100</v>
      </c>
      <c r="K27" s="6">
        <f t="shared" si="13"/>
        <v>227200</v>
      </c>
      <c r="L27" s="6">
        <f t="shared" si="8"/>
        <v>11360</v>
      </c>
      <c r="M27" s="46">
        <f t="shared" si="16"/>
        <v>215840</v>
      </c>
      <c r="N27" s="47">
        <f t="shared" si="9"/>
        <v>41009.599999999999</v>
      </c>
      <c r="O27" s="6">
        <f t="shared" si="10"/>
        <v>7554.4000000000005</v>
      </c>
      <c r="P27" s="42">
        <f t="shared" si="14"/>
        <v>249295.2</v>
      </c>
      <c r="Q27" s="42" t="str">
        <f t="shared" si="11"/>
        <v>CRÉDITO</v>
      </c>
      <c r="R27" s="42" t="str">
        <f t="shared" si="15"/>
        <v>Mala Demanda</v>
      </c>
    </row>
    <row r="28" spans="1:18" ht="34.5" customHeight="1" x14ac:dyDescent="0.25">
      <c r="A28" s="3">
        <v>722</v>
      </c>
      <c r="B28" s="3" t="str">
        <f t="shared" si="0"/>
        <v>890982134-3</v>
      </c>
      <c r="C28" s="39" t="str">
        <f t="shared" si="12"/>
        <v>UNIVERSIDAD ANTIONIO JOSÉ</v>
      </c>
      <c r="D28" s="4">
        <f t="shared" si="1"/>
        <v>2812282</v>
      </c>
      <c r="E28" s="4" t="str">
        <f t="shared" si="2"/>
        <v>Calle 27 N° 21-49</v>
      </c>
      <c r="F28" s="3" t="str">
        <f t="shared" si="3"/>
        <v>Sucre</v>
      </c>
      <c r="G28" s="39" t="str">
        <f t="shared" si="4"/>
        <v>CARPETAS PARA ARCHIVO TAMAÑO CARTA</v>
      </c>
      <c r="H28" s="3">
        <f t="shared" si="5"/>
        <v>24</v>
      </c>
      <c r="I28" s="3">
        <f t="shared" si="6"/>
        <v>30</v>
      </c>
      <c r="J28" s="3">
        <f t="shared" si="7"/>
        <v>4500</v>
      </c>
      <c r="K28" s="6">
        <f t="shared" si="13"/>
        <v>108000</v>
      </c>
      <c r="L28" s="6">
        <f t="shared" si="8"/>
        <v>4860</v>
      </c>
      <c r="M28" s="46">
        <f t="shared" si="16"/>
        <v>103140</v>
      </c>
      <c r="N28" s="47">
        <f t="shared" si="9"/>
        <v>19596.599999999999</v>
      </c>
      <c r="O28" s="6">
        <f t="shared" si="10"/>
        <v>3609.9000000000005</v>
      </c>
      <c r="P28" s="42">
        <f t="shared" si="14"/>
        <v>119126.70000000001</v>
      </c>
      <c r="Q28" s="42" t="str">
        <f t="shared" si="11"/>
        <v>CONTADO</v>
      </c>
      <c r="R28" s="42" t="str">
        <f t="shared" si="15"/>
        <v>Mala Demanda</v>
      </c>
    </row>
    <row r="29" spans="1:18" ht="43.5" customHeight="1" x14ac:dyDescent="0.25">
      <c r="A29" s="3">
        <v>723</v>
      </c>
      <c r="B29" s="3" t="str">
        <f t="shared" si="0"/>
        <v>892480054-9</v>
      </c>
      <c r="C29" s="39" t="str">
        <f t="shared" si="12"/>
        <v>INSTITUCIÓN DE EDUCACIÓN EMPRESARIAL</v>
      </c>
      <c r="D29" s="4">
        <f t="shared" si="1"/>
        <v>2804017</v>
      </c>
      <c r="E29" s="4" t="str">
        <f t="shared" si="2"/>
        <v>Calle 21 N° 6-01</v>
      </c>
      <c r="F29" s="3" t="str">
        <f t="shared" si="3"/>
        <v>Sucre</v>
      </c>
      <c r="G29" s="39" t="str">
        <f t="shared" si="4"/>
        <v>CARPETAS PARA ARCHIVO TAMAÑO CARTA</v>
      </c>
      <c r="H29" s="3">
        <f t="shared" si="5"/>
        <v>21</v>
      </c>
      <c r="I29" s="3">
        <f t="shared" si="6"/>
        <v>30</v>
      </c>
      <c r="J29" s="3">
        <f t="shared" si="7"/>
        <v>4500</v>
      </c>
      <c r="K29" s="6">
        <f t="shared" si="13"/>
        <v>94500</v>
      </c>
      <c r="L29" s="6">
        <f t="shared" si="8"/>
        <v>4252.5</v>
      </c>
      <c r="M29" s="46">
        <f t="shared" si="16"/>
        <v>90247.5</v>
      </c>
      <c r="N29" s="47">
        <f t="shared" si="9"/>
        <v>17147.025000000001</v>
      </c>
      <c r="O29" s="6">
        <f t="shared" si="10"/>
        <v>3158.6625000000004</v>
      </c>
      <c r="P29" s="42">
        <f t="shared" si="14"/>
        <v>104235.86249999999</v>
      </c>
      <c r="Q29" s="42" t="str">
        <f t="shared" si="11"/>
        <v>CRÉDITO</v>
      </c>
      <c r="R29" s="42" t="str">
        <f t="shared" si="15"/>
        <v>Mala Demanda</v>
      </c>
    </row>
    <row r="30" spans="1:18" ht="34.5" customHeight="1" x14ac:dyDescent="0.25">
      <c r="A30" s="3">
        <v>724</v>
      </c>
      <c r="B30" s="3" t="str">
        <f t="shared" si="0"/>
        <v>891421189-6</v>
      </c>
      <c r="C30" s="39" t="str">
        <f t="shared" si="12"/>
        <v xml:space="preserve">UNIVERSIDAD CENTRAL </v>
      </c>
      <c r="D30" s="4">
        <f t="shared" si="1"/>
        <v>3681013</v>
      </c>
      <c r="E30" s="4" t="str">
        <f t="shared" si="2"/>
        <v>Carrera 50 N° 79-155</v>
      </c>
      <c r="F30" s="3" t="str">
        <f t="shared" si="3"/>
        <v>Valle del Cauca</v>
      </c>
      <c r="G30" s="39" t="str">
        <f t="shared" si="4"/>
        <v xml:space="preserve">MORRAL </v>
      </c>
      <c r="H30" s="3">
        <f t="shared" si="5"/>
        <v>26</v>
      </c>
      <c r="I30" s="3">
        <f t="shared" si="6"/>
        <v>30</v>
      </c>
      <c r="J30" s="3">
        <f t="shared" si="7"/>
        <v>24000</v>
      </c>
      <c r="K30" s="6">
        <f t="shared" si="13"/>
        <v>624000</v>
      </c>
      <c r="L30" s="6">
        <f t="shared" si="8"/>
        <v>28080</v>
      </c>
      <c r="M30" s="46">
        <f t="shared" si="16"/>
        <v>595920</v>
      </c>
      <c r="N30" s="47">
        <f t="shared" si="9"/>
        <v>113224.8</v>
      </c>
      <c r="O30" s="6">
        <f t="shared" si="10"/>
        <v>0</v>
      </c>
      <c r="P30" s="42">
        <f t="shared" si="14"/>
        <v>709144.8</v>
      </c>
      <c r="Q30" s="42" t="str">
        <f t="shared" si="11"/>
        <v>CONTADO</v>
      </c>
      <c r="R30" s="42" t="str">
        <f t="shared" si="15"/>
        <v>Mala Demanda</v>
      </c>
    </row>
    <row r="31" spans="1:18" ht="34.5" customHeight="1" x14ac:dyDescent="0.25">
      <c r="A31" s="3">
        <v>725</v>
      </c>
      <c r="B31" s="3" t="str">
        <f t="shared" si="0"/>
        <v>8902704562-5</v>
      </c>
      <c r="C31" s="39" t="str">
        <f t="shared" si="12"/>
        <v>UNIVERSIDAD EAFIT</v>
      </c>
      <c r="D31" s="4">
        <f t="shared" si="1"/>
        <v>3489292</v>
      </c>
      <c r="E31" s="4" t="str">
        <f t="shared" si="2"/>
        <v>Calle 67 N° 5-27</v>
      </c>
      <c r="F31" s="3" t="str">
        <f t="shared" si="3"/>
        <v>Antioquia</v>
      </c>
      <c r="G31" s="39" t="str">
        <f t="shared" si="4"/>
        <v xml:space="preserve">MORRAL </v>
      </c>
      <c r="H31" s="3">
        <f t="shared" si="5"/>
        <v>39</v>
      </c>
      <c r="I31" s="3">
        <f t="shared" si="6"/>
        <v>30</v>
      </c>
      <c r="J31" s="3">
        <f t="shared" si="7"/>
        <v>24000</v>
      </c>
      <c r="K31" s="6">
        <f t="shared" si="13"/>
        <v>936000</v>
      </c>
      <c r="L31" s="6">
        <f t="shared" si="8"/>
        <v>46800</v>
      </c>
      <c r="M31" s="46">
        <f t="shared" si="16"/>
        <v>889200</v>
      </c>
      <c r="N31" s="47">
        <f t="shared" si="9"/>
        <v>168948</v>
      </c>
      <c r="O31" s="6">
        <f t="shared" si="10"/>
        <v>0</v>
      </c>
      <c r="P31" s="42">
        <f t="shared" si="14"/>
        <v>1058148</v>
      </c>
      <c r="Q31" s="42" t="str">
        <f t="shared" si="11"/>
        <v>CRÉDITO</v>
      </c>
      <c r="R31" s="42" t="str">
        <f t="shared" si="15"/>
        <v>Mala Demanda</v>
      </c>
    </row>
    <row r="32" spans="1:18" ht="34.5" customHeight="1" x14ac:dyDescent="0.25">
      <c r="A32" s="3">
        <v>726</v>
      </c>
      <c r="B32" s="3" t="str">
        <f t="shared" si="0"/>
        <v>891204706-2</v>
      </c>
      <c r="C32" s="39" t="str">
        <f t="shared" si="12"/>
        <v>UNIVERSIDAD DE LOS ANDES</v>
      </c>
      <c r="D32" s="4">
        <f t="shared" si="1"/>
        <v>2916520</v>
      </c>
      <c r="E32" s="4" t="str">
        <f t="shared" si="2"/>
        <v>Calle 81 B N° 79-155</v>
      </c>
      <c r="F32" s="3" t="str">
        <f t="shared" si="3"/>
        <v>Cundinamarca</v>
      </c>
      <c r="G32" s="39" t="str">
        <f t="shared" si="4"/>
        <v xml:space="preserve">CRAYOLAS </v>
      </c>
      <c r="H32" s="3">
        <f t="shared" si="5"/>
        <v>41</v>
      </c>
      <c r="I32" s="3">
        <f t="shared" si="6"/>
        <v>4</v>
      </c>
      <c r="J32" s="3">
        <f t="shared" si="7"/>
        <v>1000</v>
      </c>
      <c r="K32" s="6">
        <f t="shared" si="13"/>
        <v>41000</v>
      </c>
      <c r="L32" s="6">
        <f t="shared" si="8"/>
        <v>2050</v>
      </c>
      <c r="M32" s="46">
        <f t="shared" si="16"/>
        <v>38950</v>
      </c>
      <c r="N32" s="47">
        <f t="shared" si="9"/>
        <v>0</v>
      </c>
      <c r="O32" s="6">
        <f t="shared" si="10"/>
        <v>1363.2500000000002</v>
      </c>
      <c r="P32" s="42">
        <f t="shared" si="14"/>
        <v>37586.75</v>
      </c>
      <c r="Q32" s="42" t="str">
        <f t="shared" si="11"/>
        <v>CONTADO</v>
      </c>
      <c r="R32" s="42" t="str">
        <f t="shared" si="15"/>
        <v>Buena Demanda</v>
      </c>
    </row>
    <row r="33" spans="1:18" ht="46.5" customHeight="1" x14ac:dyDescent="0.25">
      <c r="A33" s="3">
        <v>727</v>
      </c>
      <c r="B33" s="3" t="str">
        <f t="shared" si="0"/>
        <v>893500248-9</v>
      </c>
      <c r="C33" s="39" t="str">
        <f t="shared" si="12"/>
        <v>UNIVERSIDAD AUTONOMA DE OCCIDENTE</v>
      </c>
      <c r="D33" s="4">
        <f t="shared" si="1"/>
        <v>5132100</v>
      </c>
      <c r="E33" s="4" t="str">
        <f t="shared" si="2"/>
        <v>Calle 51 N° 72 A-70</v>
      </c>
      <c r="F33" s="3" t="str">
        <f t="shared" si="3"/>
        <v>Cundinamarca</v>
      </c>
      <c r="G33" s="39" t="str">
        <f t="shared" si="4"/>
        <v>CAJA DE COLORES NORMA</v>
      </c>
      <c r="H33" s="3">
        <f t="shared" si="5"/>
        <v>43</v>
      </c>
      <c r="I33" s="3">
        <f t="shared" si="6"/>
        <v>7</v>
      </c>
      <c r="J33" s="3">
        <f t="shared" si="7"/>
        <v>9500</v>
      </c>
      <c r="K33" s="6">
        <f t="shared" si="13"/>
        <v>408500</v>
      </c>
      <c r="L33" s="6">
        <f t="shared" si="8"/>
        <v>20425</v>
      </c>
      <c r="M33" s="46">
        <f t="shared" si="16"/>
        <v>388075</v>
      </c>
      <c r="N33" s="47">
        <f t="shared" si="9"/>
        <v>73734.25</v>
      </c>
      <c r="O33" s="6">
        <f t="shared" si="10"/>
        <v>13582.625000000002</v>
      </c>
      <c r="P33" s="42">
        <f t="shared" si="14"/>
        <v>448226.625</v>
      </c>
      <c r="Q33" s="42" t="str">
        <f t="shared" si="11"/>
        <v>CRÉDITO</v>
      </c>
      <c r="R33" s="42" t="str">
        <f t="shared" si="15"/>
        <v>Buena Demanda</v>
      </c>
    </row>
    <row r="34" spans="1:18" ht="34.5" customHeight="1" x14ac:dyDescent="0.25">
      <c r="A34" s="3">
        <v>728</v>
      </c>
      <c r="B34" s="3" t="str">
        <f t="shared" si="0"/>
        <v>860503837-7</v>
      </c>
      <c r="C34" s="39" t="str">
        <f t="shared" si="12"/>
        <v>UNIPANAMERICANA</v>
      </c>
      <c r="D34" s="4">
        <f t="shared" si="1"/>
        <v>7434343</v>
      </c>
      <c r="E34" s="4" t="str">
        <f t="shared" si="2"/>
        <v>Calle 76 N° 12-58</v>
      </c>
      <c r="F34" s="3" t="str">
        <f t="shared" si="3"/>
        <v>Risaralda</v>
      </c>
      <c r="G34" s="39" t="str">
        <f t="shared" si="4"/>
        <v xml:space="preserve">CRAYOLAS </v>
      </c>
      <c r="H34" s="3">
        <f t="shared" si="5"/>
        <v>22</v>
      </c>
      <c r="I34" s="3">
        <f t="shared" si="6"/>
        <v>5</v>
      </c>
      <c r="J34" s="3">
        <f t="shared" si="7"/>
        <v>1000</v>
      </c>
      <c r="K34" s="6">
        <f t="shared" si="13"/>
        <v>22000</v>
      </c>
      <c r="L34" s="6">
        <f t="shared" si="8"/>
        <v>990</v>
      </c>
      <c r="M34" s="46">
        <f t="shared" si="16"/>
        <v>21010</v>
      </c>
      <c r="N34" s="47">
        <f t="shared" si="9"/>
        <v>0</v>
      </c>
      <c r="O34" s="6">
        <f t="shared" si="10"/>
        <v>735.35</v>
      </c>
      <c r="P34" s="42">
        <f t="shared" si="14"/>
        <v>20274.650000000001</v>
      </c>
      <c r="Q34" s="42" t="str">
        <f t="shared" si="11"/>
        <v>CRÉDITO</v>
      </c>
      <c r="R34" s="42" t="str">
        <f t="shared" si="15"/>
        <v>Buena Demanda</v>
      </c>
    </row>
    <row r="35" spans="1:18" ht="34.5" customHeight="1" x14ac:dyDescent="0.25">
      <c r="A35" s="3">
        <v>729</v>
      </c>
      <c r="B35" s="3" t="str">
        <f t="shared" si="0"/>
        <v>811005425-1</v>
      </c>
      <c r="C35" s="39" t="str">
        <f t="shared" si="12"/>
        <v>UNIVERSIDAD DE PAMPLONA</v>
      </c>
      <c r="D35" s="4">
        <f t="shared" si="1"/>
        <v>2320606</v>
      </c>
      <c r="E35" s="4" t="str">
        <f t="shared" si="2"/>
        <v>Carrera 19 N° 49-20</v>
      </c>
      <c r="F35" s="3" t="str">
        <f t="shared" si="3"/>
        <v>Sucre</v>
      </c>
      <c r="G35" s="39" t="str">
        <f t="shared" si="4"/>
        <v>GRAPADORA MEDIANA</v>
      </c>
      <c r="H35" s="3">
        <f t="shared" si="5"/>
        <v>20</v>
      </c>
      <c r="I35" s="3">
        <f t="shared" si="6"/>
        <v>30</v>
      </c>
      <c r="J35" s="3">
        <f t="shared" si="7"/>
        <v>4708</v>
      </c>
      <c r="K35" s="6">
        <f t="shared" si="13"/>
        <v>94160</v>
      </c>
      <c r="L35" s="6">
        <f t="shared" si="8"/>
        <v>2824.7999999999997</v>
      </c>
      <c r="M35" s="46">
        <f t="shared" si="16"/>
        <v>91335.2</v>
      </c>
      <c r="N35" s="47">
        <f t="shared" si="9"/>
        <v>17353.687999999998</v>
      </c>
      <c r="O35" s="6">
        <f t="shared" si="10"/>
        <v>3196.7320000000004</v>
      </c>
      <c r="P35" s="42">
        <f t="shared" si="14"/>
        <v>105492.15599999999</v>
      </c>
      <c r="Q35" s="42" t="str">
        <f t="shared" si="11"/>
        <v>CONTADO</v>
      </c>
      <c r="R35" s="42" t="str">
        <f t="shared" si="15"/>
        <v>Mala Demanda</v>
      </c>
    </row>
    <row r="36" spans="1:18" ht="34.5" customHeight="1" x14ac:dyDescent="0.25">
      <c r="A36" s="3">
        <v>730</v>
      </c>
      <c r="B36" s="3" t="str">
        <f t="shared" si="0"/>
        <v>860510627-6</v>
      </c>
      <c r="C36" s="39" t="str">
        <f t="shared" si="12"/>
        <v>UNIVERSIDAD DEL ATLÁNTICO</v>
      </c>
      <c r="D36" s="4">
        <f t="shared" si="1"/>
        <v>2880693</v>
      </c>
      <c r="E36" s="4" t="str">
        <f t="shared" si="2"/>
        <v>Calle 9 N° 34-01</v>
      </c>
      <c r="F36" s="3" t="str">
        <f t="shared" si="3"/>
        <v xml:space="preserve">Atlántico </v>
      </c>
      <c r="G36" s="39" t="str">
        <f t="shared" si="4"/>
        <v xml:space="preserve">MORRAL </v>
      </c>
      <c r="H36" s="3">
        <f t="shared" si="5"/>
        <v>10</v>
      </c>
      <c r="I36" s="3">
        <f t="shared" si="6"/>
        <v>30</v>
      </c>
      <c r="J36" s="3">
        <f t="shared" si="7"/>
        <v>24000</v>
      </c>
      <c r="K36" s="6">
        <f t="shared" si="13"/>
        <v>240000</v>
      </c>
      <c r="L36" s="6">
        <f t="shared" si="8"/>
        <v>7200</v>
      </c>
      <c r="M36" s="46">
        <f t="shared" si="16"/>
        <v>232800</v>
      </c>
      <c r="N36" s="47">
        <f t="shared" si="9"/>
        <v>44232</v>
      </c>
      <c r="O36" s="6">
        <f t="shared" si="10"/>
        <v>8148.0000000000009</v>
      </c>
      <c r="P36" s="42">
        <f t="shared" si="14"/>
        <v>268884</v>
      </c>
      <c r="Q36" s="42" t="str">
        <f t="shared" si="11"/>
        <v>CONTADO</v>
      </c>
      <c r="R36" s="42" t="str">
        <f t="shared" si="15"/>
        <v>Mala Demanda</v>
      </c>
    </row>
    <row r="37" spans="1:18" x14ac:dyDescent="0.25">
      <c r="A37" s="15"/>
      <c r="I37" s="3" t="str">
        <f t="shared" si="6"/>
        <v/>
      </c>
      <c r="J37" s="14"/>
      <c r="K37" s="14"/>
      <c r="L37" s="6"/>
      <c r="M37" s="6"/>
      <c r="N37" s="47"/>
      <c r="O37" s="6"/>
      <c r="P37" s="7"/>
      <c r="Q37" s="7" t="str">
        <f t="shared" si="11"/>
        <v/>
      </c>
      <c r="R37" s="42"/>
    </row>
    <row r="38" spans="1:18" x14ac:dyDescent="0.25">
      <c r="I38" s="41" t="str">
        <f t="shared" si="6"/>
        <v/>
      </c>
      <c r="L38" s="52"/>
      <c r="M38" s="52"/>
      <c r="N38" s="53"/>
      <c r="O38" s="52"/>
      <c r="P38" s="43"/>
      <c r="Q38" s="43" t="str">
        <f t="shared" si="11"/>
        <v/>
      </c>
      <c r="R38" s="54"/>
    </row>
    <row r="39" spans="1:18" x14ac:dyDescent="0.25">
      <c r="I39" s="41" t="str">
        <f t="shared" si="6"/>
        <v/>
      </c>
      <c r="L39" s="52"/>
      <c r="M39" s="52"/>
      <c r="N39" s="53"/>
      <c r="O39" s="52"/>
      <c r="P39" s="43"/>
      <c r="Q39" s="43" t="str">
        <f t="shared" si="11"/>
        <v/>
      </c>
      <c r="R39" s="54"/>
    </row>
    <row r="40" spans="1:18" x14ac:dyDescent="0.25">
      <c r="I40" s="41" t="str">
        <f t="shared" si="6"/>
        <v/>
      </c>
      <c r="L40" s="52"/>
      <c r="M40" s="52"/>
      <c r="N40" s="53"/>
      <c r="O40" s="52"/>
      <c r="P40" s="43"/>
      <c r="Q40" s="43" t="str">
        <f t="shared" si="11"/>
        <v/>
      </c>
      <c r="R40" s="54"/>
    </row>
    <row r="41" spans="1:18" x14ac:dyDescent="0.25">
      <c r="I41" s="41" t="str">
        <f t="shared" si="6"/>
        <v/>
      </c>
      <c r="L41" s="52"/>
      <c r="M41" s="52"/>
      <c r="N41" s="53"/>
      <c r="O41" s="52"/>
      <c r="P41" s="43"/>
      <c r="Q41" s="43" t="str">
        <f t="shared" si="11"/>
        <v/>
      </c>
      <c r="R41" s="54"/>
    </row>
    <row r="42" spans="1:18" x14ac:dyDescent="0.25">
      <c r="I42" s="41" t="str">
        <f t="shared" si="6"/>
        <v/>
      </c>
      <c r="L42" s="52"/>
      <c r="M42" s="52"/>
      <c r="N42" s="53"/>
      <c r="O42" s="52"/>
      <c r="P42" s="43"/>
      <c r="Q42" s="43" t="str">
        <f t="shared" si="11"/>
        <v/>
      </c>
      <c r="R42" s="54"/>
    </row>
    <row r="43" spans="1:18" x14ac:dyDescent="0.25">
      <c r="I43" s="41" t="str">
        <f t="shared" si="6"/>
        <v/>
      </c>
      <c r="L43" s="52"/>
      <c r="M43" s="52"/>
      <c r="N43" s="53"/>
      <c r="O43" s="52"/>
      <c r="P43" s="43"/>
      <c r="Q43" s="43" t="str">
        <f t="shared" si="11"/>
        <v/>
      </c>
      <c r="R43" s="54"/>
    </row>
    <row r="44" spans="1:18" x14ac:dyDescent="0.25">
      <c r="C44" s="49"/>
      <c r="D44" s="20"/>
      <c r="E44" s="20"/>
      <c r="I44" s="41" t="str">
        <f t="shared" si="6"/>
        <v/>
      </c>
      <c r="L44" s="52"/>
      <c r="M44" s="52"/>
      <c r="N44" s="53"/>
      <c r="O44" s="52"/>
      <c r="P44" s="43"/>
      <c r="Q44" s="43" t="str">
        <f t="shared" si="11"/>
        <v/>
      </c>
      <c r="R44" s="54"/>
    </row>
    <row r="47" spans="1:18" x14ac:dyDescent="0.25">
      <c r="B47" s="3" t="str">
        <f>IF(ISBLANK(A37),"",IF(ISERROR(VLOOKUP(A37,bdpapeleria,2,FALSE)),"El dato no existe",VLOOKUP(A37,bdpapeleria,2,FALSE)))</f>
        <v/>
      </c>
      <c r="C47" s="85" t="s">
        <v>72</v>
      </c>
      <c r="D47" s="85"/>
      <c r="E47" s="85"/>
      <c r="F47" s="85"/>
      <c r="G47" s="85"/>
      <c r="H47" s="85"/>
    </row>
    <row r="48" spans="1:18" x14ac:dyDescent="0.25">
      <c r="B48" s="36" t="s">
        <v>73</v>
      </c>
      <c r="C48" s="40">
        <f>SUM(H7:H36)</f>
        <v>891</v>
      </c>
      <c r="D48" s="48"/>
      <c r="E48" s="45" t="s">
        <v>8</v>
      </c>
      <c r="F48" s="45">
        <v>0.03</v>
      </c>
      <c r="G48" s="44">
        <v>4.4999999999999998E-2</v>
      </c>
      <c r="H48" s="45">
        <v>0.05</v>
      </c>
    </row>
    <row r="49" spans="2:8" x14ac:dyDescent="0.25">
      <c r="B49" s="36" t="s">
        <v>74</v>
      </c>
      <c r="C49" s="55">
        <f>SUM(M7:M36)</f>
        <v>7957042.7000000002</v>
      </c>
      <c r="D49" s="20"/>
      <c r="E49" s="50" t="s">
        <v>10</v>
      </c>
      <c r="F49" s="45">
        <v>0.19</v>
      </c>
      <c r="G49" s="51"/>
      <c r="H49" s="51"/>
    </row>
    <row r="50" spans="2:8" x14ac:dyDescent="0.25">
      <c r="B50" s="36" t="s">
        <v>12</v>
      </c>
      <c r="C50" s="55">
        <f>SUM(P7:P36)</f>
        <v>9253155.7395000011</v>
      </c>
      <c r="D50" s="20"/>
      <c r="E50" s="50" t="s">
        <v>163</v>
      </c>
      <c r="F50" s="44">
        <v>3.5000000000000003E-2</v>
      </c>
      <c r="G50" s="51"/>
      <c r="H50" s="51"/>
    </row>
    <row r="51" spans="2:8" x14ac:dyDescent="0.25">
      <c r="B51" s="36" t="s">
        <v>75</v>
      </c>
      <c r="C51" s="55">
        <f>AVERAGE(P7:P36)</f>
        <v>308438.52465000004</v>
      </c>
      <c r="D51" s="20"/>
      <c r="E51" s="20"/>
    </row>
    <row r="52" spans="2:8" x14ac:dyDescent="0.25">
      <c r="B52" s="36" t="s">
        <v>76</v>
      </c>
      <c r="C52" s="55">
        <f>MAX(P7:P36)</f>
        <v>1380510.075</v>
      </c>
      <c r="D52" s="20"/>
      <c r="E52" s="20"/>
    </row>
    <row r="53" spans="2:8" x14ac:dyDescent="0.25">
      <c r="B53" s="36" t="s">
        <v>77</v>
      </c>
      <c r="C53" s="55">
        <f>MIN(P7:P36)</f>
        <v>20274.650000000001</v>
      </c>
      <c r="D53" s="20"/>
      <c r="E53" s="20"/>
    </row>
  </sheetData>
  <mergeCells count="3">
    <mergeCell ref="A2:P2"/>
    <mergeCell ref="A4:P4"/>
    <mergeCell ref="C47:H47"/>
  </mergeCells>
  <dataValidations count="2">
    <dataValidation type="whole" allowBlank="1" showInputMessage="1" showErrorMessage="1" error="No se permite ingresar este dato_x000a_" sqref="H7:H36">
      <formula1>5</formula1>
      <formula2>60</formula2>
    </dataValidation>
    <dataValidation type="whole" allowBlank="1" showInputMessage="1" showErrorMessage="1" error="No se permite ingresar este dato_x000a_" sqref="I7:I36">
      <formula1>2</formula1>
      <formula2>45</formula2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3"/>
  <sheetViews>
    <sheetView topLeftCell="A2" workbookViewId="0">
      <selection activeCell="A6" sqref="A6"/>
    </sheetView>
  </sheetViews>
  <sheetFormatPr baseColWidth="10" defaultRowHeight="15" x14ac:dyDescent="0.25"/>
  <cols>
    <col min="2" max="2" width="27.140625" customWidth="1"/>
    <col min="3" max="5" width="30.42578125" customWidth="1"/>
    <col min="6" max="8" width="23.7109375" customWidth="1"/>
    <col min="9" max="9" width="30.5703125" customWidth="1"/>
    <col min="10" max="17" width="23.7109375" customWidth="1"/>
    <col min="18" max="18" width="24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  <c r="R2" s="37"/>
    </row>
    <row r="3" spans="1:18" ht="9.7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3.75" customHeight="1" x14ac:dyDescent="0.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</row>
    <row r="5" spans="1:18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2" t="s">
        <v>2</v>
      </c>
      <c r="B6" s="2" t="s">
        <v>88</v>
      </c>
      <c r="C6" s="2" t="s">
        <v>3</v>
      </c>
      <c r="D6" s="2" t="s">
        <v>90</v>
      </c>
      <c r="E6" s="2" t="s">
        <v>89</v>
      </c>
      <c r="F6" s="2" t="s">
        <v>22</v>
      </c>
      <c r="G6" s="2" t="s">
        <v>4</v>
      </c>
      <c r="H6" s="2" t="s">
        <v>5</v>
      </c>
      <c r="I6" s="2" t="s">
        <v>162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2" t="s">
        <v>11</v>
      </c>
      <c r="P6" s="2" t="s">
        <v>12</v>
      </c>
      <c r="Q6" s="2" t="s">
        <v>91</v>
      </c>
      <c r="R6" s="2" t="s">
        <v>71</v>
      </c>
    </row>
    <row r="7" spans="1:18" ht="39" customHeight="1" x14ac:dyDescent="0.25">
      <c r="A7" s="3">
        <v>701</v>
      </c>
      <c r="B7" s="3" t="str">
        <f t="shared" ref="B7:B36" si="0">IF(ISBLANK(A7),"",IF(ISERROR(VLOOKUP(A7,bdpapeleria,2,FALSE)),"El dato no existe",VLOOKUP(A7,bdpapeleria,2,FALSE)))</f>
        <v>890980134-1</v>
      </c>
      <c r="C7" s="39" t="str">
        <f>IF(ISBLANK(A7),"",IF(ISERROR(VLOOKUP(A7,bdpapeleria,3,FALSE)),"El dato no existe",VLOOKUP(A7,bdpapeleria,3,FALSE)))</f>
        <v>COLEGIO MAYOR DE ANTIOQUIA</v>
      </c>
      <c r="D7" s="40">
        <f t="shared" ref="D7:D36" si="1">IF(ISBLANK(A7),"",IF(ISERROR(VLOOKUP(A7,bdpapeleria,4,FALSE)),"El dato no existe",VLOOKUP(A7,bdpapeleria,4,FALSE)))</f>
        <v>4445611</v>
      </c>
      <c r="E7" s="3" t="str">
        <f t="shared" ref="E7:E36" si="2">IF(ISBLANK(A7),"",IF(ISERROR(VLOOKUP(A7,bdpapeleria,5,FALSE)),"El dato no existe",VLOOKUP(A7,bdpapeleria,5,FALSE)))</f>
        <v>Carrera 78 N° 65-46</v>
      </c>
      <c r="F7" s="3" t="str">
        <f t="shared" ref="F7:F36" si="3">IF(ISBLANK(A7),"",IF(ISERROR(VLOOKUP(A7,bdpapeleria,6,FALSE)),"El dato no existe",VLOOKUP(A7,bdpapeleria,6,FALSE)))</f>
        <v>Antioquia</v>
      </c>
      <c r="G7" s="39" t="str">
        <f t="shared" ref="G7:G36" si="4">IF(ISBLANK(A7),"",IF(ISERROR(VLOOKUP(A7,bdpapeleria,7,FALSE)),"El dato no existe",VLOOKUP(A7,bdpapeleria,7,FALSE)))</f>
        <v xml:space="preserve">CAJA DE RESMAS TAMAÑO OFICIO </v>
      </c>
      <c r="H7" s="3">
        <f t="shared" ref="H7:H36" si="5">IF(ISBLANK(A7),"",IF(ISERROR(VLOOKUP(A7,bdpapeleria,8,FALSE)),"El dato no existe",VLOOKUP(A7,bdpapeleria,8,FALSE)))</f>
        <v>35</v>
      </c>
      <c r="I7" s="3">
        <f t="shared" ref="I7:I44" si="6">IF(ISBLANK(A7),"",IF(ISERROR(VLOOKUP(A7,bdpapeleria,9,FALSE)),"El dato no existe",VLOOKUP(A7,bdpapeleria,9,FALSE)))</f>
        <v>8</v>
      </c>
      <c r="J7" s="3">
        <f t="shared" ref="J7:J36" si="7">IF(ISBLANK(A7),"",IF(ISERROR(VLOOKUP(A7,bdpapeleria,10,FALSE)),"El dato no existe",VLOOKUP(A7,bdpapeleria,10,FALSE)))</f>
        <v>34890</v>
      </c>
      <c r="K7" s="6">
        <f>J7*H7</f>
        <v>1221150</v>
      </c>
      <c r="L7" s="6">
        <f t="shared" ref="L7:L36" si="8">IF(AND(H7&gt;=10,H7&lt;=20),K7*$F$48,IF(AND(H7&gt;=21,H7&lt;=30),K7*$G$48,K7*$H$48))</f>
        <v>61057.5</v>
      </c>
      <c r="M7" s="46">
        <f>K7-L7</f>
        <v>1160092.5</v>
      </c>
      <c r="N7" s="47">
        <f t="shared" ref="N7:N36" si="9">IF(M7&gt;=90000,M7*$F$49,M7*0%)</f>
        <v>220417.57500000001</v>
      </c>
      <c r="O7" s="6">
        <f t="shared" ref="O7:O36" si="10">IF(M7&lt;=400000,M7*$F$50,M7*0%)</f>
        <v>0</v>
      </c>
      <c r="P7" s="42">
        <f>M7+N7-O7</f>
        <v>1380510.075</v>
      </c>
      <c r="Q7" s="42" t="str">
        <f t="shared" ref="Q7:Q44" si="11">IF(ISBLANK(A7),"",IF(ISERROR(VLOOKUP(A7,bdpapeleria,11,FALSE)),"El dato no existe",VLOOKUP(A7,bdpapeleria,11,FALSE)))</f>
        <v>CONTADO</v>
      </c>
      <c r="R7" s="42" t="str">
        <f>IF(I7&gt;=15,"Mala Demanda","Buena Demanda")</f>
        <v>Buena Demanda</v>
      </c>
    </row>
    <row r="8" spans="1:18" ht="40.5" customHeight="1" x14ac:dyDescent="0.25">
      <c r="A8" s="3">
        <v>702</v>
      </c>
      <c r="B8" s="3" t="str">
        <f t="shared" si="0"/>
        <v>890480054-5</v>
      </c>
      <c r="C8" s="39" t="str">
        <f t="shared" ref="C8:C36" si="12">IF(ISBLANK(A8),"",IF(ISERROR(VLOOKUP(A8,bdpapeleria,3,FALSE)),"El dato no existe",VLOOKUP(A8,bdpapeleria,3,FALSE)))</f>
        <v xml:space="preserve">CORPORACION CENTRO TÉCNICO ARQUITETÓNICO </v>
      </c>
      <c r="D8" s="4">
        <f t="shared" si="1"/>
        <v>3293333</v>
      </c>
      <c r="E8" s="4" t="str">
        <f t="shared" si="2"/>
        <v>Avda 30 de Agosto N° 52-236</v>
      </c>
      <c r="F8" s="3" t="str">
        <f t="shared" si="3"/>
        <v>Risaralda</v>
      </c>
      <c r="G8" s="39" t="str">
        <f t="shared" si="4"/>
        <v xml:space="preserve">CAJA DE RESMAS TAMAÑO CARTA X 15 </v>
      </c>
      <c r="H8" s="3">
        <f t="shared" si="5"/>
        <v>20</v>
      </c>
      <c r="I8" s="3">
        <f t="shared" si="6"/>
        <v>15</v>
      </c>
      <c r="J8" s="3">
        <f t="shared" si="7"/>
        <v>25678</v>
      </c>
      <c r="K8" s="6">
        <f t="shared" ref="K8:K36" si="13">J8*H8</f>
        <v>513560</v>
      </c>
      <c r="L8" s="6">
        <f t="shared" si="8"/>
        <v>15406.8</v>
      </c>
      <c r="M8" s="46">
        <f>K8-L8</f>
        <v>498153.2</v>
      </c>
      <c r="N8" s="47">
        <f t="shared" si="9"/>
        <v>94649.108000000007</v>
      </c>
      <c r="O8" s="6">
        <f t="shared" si="10"/>
        <v>0</v>
      </c>
      <c r="P8" s="42">
        <f t="shared" ref="P8:P36" si="14">M8+N8-O8</f>
        <v>592802.30799999996</v>
      </c>
      <c r="Q8" s="42" t="str">
        <f t="shared" si="11"/>
        <v>CONTADO</v>
      </c>
      <c r="R8" s="42" t="str">
        <f t="shared" ref="R8:R36" si="15">IF(I8&gt;=15,"Mala Demanda","Buena Demanda")</f>
        <v>Mala Demanda</v>
      </c>
    </row>
    <row r="9" spans="1:18" ht="34.5" hidden="1" customHeight="1" x14ac:dyDescent="0.25">
      <c r="A9" s="3">
        <v>703</v>
      </c>
      <c r="B9" s="3" t="str">
        <f t="shared" si="0"/>
        <v>891411199-3</v>
      </c>
      <c r="C9" s="39" t="str">
        <f t="shared" si="12"/>
        <v>CORPORACIÓN EDUCATIVA -ITAE-</v>
      </c>
      <c r="D9" s="4">
        <f t="shared" si="1"/>
        <v>6642484</v>
      </c>
      <c r="E9" s="4" t="str">
        <f t="shared" si="2"/>
        <v>Centro Carrera 3 Calle de la factoria N°35-95</v>
      </c>
      <c r="F9" s="3" t="str">
        <f t="shared" si="3"/>
        <v>Bolivar</v>
      </c>
      <c r="G9" s="39" t="str">
        <f t="shared" si="4"/>
        <v xml:space="preserve">TALONARIO DE CAJA MENOR </v>
      </c>
      <c r="H9" s="3">
        <f t="shared" si="5"/>
        <v>40</v>
      </c>
      <c r="I9" s="3">
        <f t="shared" si="6"/>
        <v>10</v>
      </c>
      <c r="J9" s="3">
        <f t="shared" si="7"/>
        <v>900</v>
      </c>
      <c r="K9" s="6">
        <f t="shared" si="13"/>
        <v>36000</v>
      </c>
      <c r="L9" s="6">
        <f t="shared" si="8"/>
        <v>1800</v>
      </c>
      <c r="M9" s="46">
        <f t="shared" ref="M9:M36" si="16">K9-L9</f>
        <v>34200</v>
      </c>
      <c r="N9" s="47">
        <f t="shared" si="9"/>
        <v>0</v>
      </c>
      <c r="O9" s="6">
        <f t="shared" si="10"/>
        <v>1197.0000000000002</v>
      </c>
      <c r="P9" s="42">
        <f t="shared" si="14"/>
        <v>33003</v>
      </c>
      <c r="Q9" s="42" t="str">
        <f t="shared" si="11"/>
        <v>CRÉDITO</v>
      </c>
      <c r="R9" s="42" t="str">
        <f t="shared" si="15"/>
        <v>Buena Demanda</v>
      </c>
    </row>
    <row r="10" spans="1:18" ht="34.5" hidden="1" customHeight="1" x14ac:dyDescent="0.25">
      <c r="A10" s="3">
        <v>704</v>
      </c>
      <c r="B10" s="3" t="str">
        <f t="shared" si="0"/>
        <v>8900704562-9</v>
      </c>
      <c r="C10" s="39" t="str">
        <f t="shared" si="12"/>
        <v>CORPORACIÓN ESCUELA DE ARTES Y LETRAS</v>
      </c>
      <c r="D10" s="4">
        <f t="shared" si="1"/>
        <v>2134421</v>
      </c>
      <c r="E10" s="4" t="str">
        <f t="shared" si="2"/>
        <v xml:space="preserve">Calle 10 N° 29-93 </v>
      </c>
      <c r="F10" s="3" t="str">
        <f t="shared" si="3"/>
        <v>Tolima</v>
      </c>
      <c r="G10" s="39" t="str">
        <f t="shared" si="4"/>
        <v>CUADERNO ARGOLLADO</v>
      </c>
      <c r="H10" s="3">
        <f t="shared" si="5"/>
        <v>22</v>
      </c>
      <c r="I10" s="3">
        <f t="shared" si="6"/>
        <v>8</v>
      </c>
      <c r="J10" s="3">
        <f t="shared" si="7"/>
        <v>10900</v>
      </c>
      <c r="K10" s="6">
        <f t="shared" si="13"/>
        <v>239800</v>
      </c>
      <c r="L10" s="6">
        <f t="shared" si="8"/>
        <v>10791</v>
      </c>
      <c r="M10" s="46">
        <f t="shared" si="16"/>
        <v>229009</v>
      </c>
      <c r="N10" s="47">
        <f t="shared" si="9"/>
        <v>43511.71</v>
      </c>
      <c r="O10" s="6">
        <f t="shared" si="10"/>
        <v>8015.3150000000005</v>
      </c>
      <c r="P10" s="42">
        <f t="shared" si="14"/>
        <v>264505.39500000002</v>
      </c>
      <c r="Q10" s="42" t="str">
        <f t="shared" si="11"/>
        <v>CRÉDITO</v>
      </c>
      <c r="R10" s="42" t="str">
        <f t="shared" si="15"/>
        <v>Buena Demanda</v>
      </c>
    </row>
    <row r="11" spans="1:18" ht="34.5" customHeight="1" x14ac:dyDescent="0.25">
      <c r="A11" s="3">
        <v>705</v>
      </c>
      <c r="B11" s="3" t="str">
        <f t="shared" si="0"/>
        <v>890203706-2</v>
      </c>
      <c r="C11" s="39" t="str">
        <f t="shared" si="12"/>
        <v>UNIVERSIDAD CATÓLICA LUIS AMIGÓ</v>
      </c>
      <c r="D11" s="4">
        <f t="shared" si="1"/>
        <v>6525202</v>
      </c>
      <c r="E11" s="4" t="str">
        <f t="shared" si="2"/>
        <v>Calle 10 N° 3-95</v>
      </c>
      <c r="F11" s="3" t="str">
        <f t="shared" si="3"/>
        <v>Antioquia</v>
      </c>
      <c r="G11" s="39" t="str">
        <f t="shared" si="4"/>
        <v>CARPETAS PARA ARCHIVO TAMAÑO OFICIO</v>
      </c>
      <c r="H11" s="3">
        <f t="shared" si="5"/>
        <v>43</v>
      </c>
      <c r="I11" s="3">
        <f t="shared" si="6"/>
        <v>30</v>
      </c>
      <c r="J11" s="3">
        <f t="shared" si="7"/>
        <v>7100</v>
      </c>
      <c r="K11" s="6">
        <f t="shared" si="13"/>
        <v>305300</v>
      </c>
      <c r="L11" s="6">
        <f t="shared" si="8"/>
        <v>15265</v>
      </c>
      <c r="M11" s="46">
        <f t="shared" si="16"/>
        <v>290035</v>
      </c>
      <c r="N11" s="47">
        <f t="shared" si="9"/>
        <v>55106.65</v>
      </c>
      <c r="O11" s="6">
        <f t="shared" si="10"/>
        <v>10151.225</v>
      </c>
      <c r="P11" s="42">
        <f t="shared" si="14"/>
        <v>334990.42500000005</v>
      </c>
      <c r="Q11" s="42" t="str">
        <f t="shared" si="11"/>
        <v>CRÉDITO</v>
      </c>
      <c r="R11" s="42" t="str">
        <f t="shared" si="15"/>
        <v>Mala Demanda</v>
      </c>
    </row>
    <row r="12" spans="1:18" ht="34.5" hidden="1" customHeight="1" x14ac:dyDescent="0.25">
      <c r="A12" s="3">
        <v>706</v>
      </c>
      <c r="B12" s="3" t="str">
        <f t="shared" si="0"/>
        <v>891408248-5</v>
      </c>
      <c r="C12" s="39" t="str">
        <f t="shared" si="12"/>
        <v>CORPORACIÓN JOHN F.KENNEDY</v>
      </c>
      <c r="D12" s="4">
        <f t="shared" si="1"/>
        <v>6505400</v>
      </c>
      <c r="E12" s="4" t="str">
        <f t="shared" si="2"/>
        <v>Calle 74 N° 11-92</v>
      </c>
      <c r="F12" s="3" t="str">
        <f t="shared" si="3"/>
        <v>Cundinamarca</v>
      </c>
      <c r="G12" s="39" t="str">
        <f t="shared" si="4"/>
        <v>CAJA DE COLORES NORMA</v>
      </c>
      <c r="H12" s="3">
        <f t="shared" si="5"/>
        <v>12</v>
      </c>
      <c r="I12" s="3">
        <f t="shared" si="6"/>
        <v>5</v>
      </c>
      <c r="J12" s="3">
        <f t="shared" si="7"/>
        <v>9500</v>
      </c>
      <c r="K12" s="6">
        <f t="shared" si="13"/>
        <v>114000</v>
      </c>
      <c r="L12" s="6">
        <f t="shared" si="8"/>
        <v>3420</v>
      </c>
      <c r="M12" s="46">
        <f t="shared" si="16"/>
        <v>110580</v>
      </c>
      <c r="N12" s="47">
        <f t="shared" si="9"/>
        <v>21010.2</v>
      </c>
      <c r="O12" s="6">
        <f t="shared" si="10"/>
        <v>3870.3</v>
      </c>
      <c r="P12" s="42">
        <f t="shared" si="14"/>
        <v>127719.90000000001</v>
      </c>
      <c r="Q12" s="42" t="str">
        <f t="shared" si="11"/>
        <v>CONTADO</v>
      </c>
      <c r="R12" s="42" t="str">
        <f t="shared" si="15"/>
        <v>Buena Demanda</v>
      </c>
    </row>
    <row r="13" spans="1:18" ht="34.5" customHeight="1" x14ac:dyDescent="0.25">
      <c r="A13" s="3">
        <v>707</v>
      </c>
      <c r="B13" s="3" t="str">
        <f t="shared" si="0"/>
        <v>860066098-5</v>
      </c>
      <c r="C13" s="39" t="str">
        <f t="shared" si="12"/>
        <v>CORPORACIÓN UNVIERSITARIA CENDA</v>
      </c>
      <c r="D13" s="4">
        <f t="shared" si="1"/>
        <v>3400100</v>
      </c>
      <c r="E13" s="4" t="str">
        <f t="shared" si="2"/>
        <v>Carrera 14 N° 12-42</v>
      </c>
      <c r="F13" s="3" t="str">
        <f t="shared" si="3"/>
        <v>Risaralda</v>
      </c>
      <c r="G13" s="39" t="str">
        <f t="shared" si="4"/>
        <v>VINILOS PRISMACOLOR</v>
      </c>
      <c r="H13" s="3">
        <f t="shared" si="5"/>
        <v>25</v>
      </c>
      <c r="I13" s="3">
        <f t="shared" si="6"/>
        <v>3</v>
      </c>
      <c r="J13" s="3">
        <f t="shared" si="7"/>
        <v>1000</v>
      </c>
      <c r="K13" s="6">
        <f t="shared" si="13"/>
        <v>25000</v>
      </c>
      <c r="L13" s="6">
        <f t="shared" si="8"/>
        <v>1125</v>
      </c>
      <c r="M13" s="46">
        <f t="shared" si="16"/>
        <v>23875</v>
      </c>
      <c r="N13" s="47">
        <f t="shared" si="9"/>
        <v>0</v>
      </c>
      <c r="O13" s="6">
        <f t="shared" si="10"/>
        <v>835.62500000000011</v>
      </c>
      <c r="P13" s="42">
        <f t="shared" si="14"/>
        <v>23039.375</v>
      </c>
      <c r="Q13" s="42" t="str">
        <f t="shared" si="11"/>
        <v>CONTADO</v>
      </c>
      <c r="R13" s="42" t="str">
        <f t="shared" si="15"/>
        <v>Buena Demanda</v>
      </c>
    </row>
    <row r="14" spans="1:18" ht="34.5" customHeight="1" x14ac:dyDescent="0.25">
      <c r="A14" s="3">
        <v>708</v>
      </c>
      <c r="B14" s="3" t="str">
        <f t="shared" si="0"/>
        <v>860504543-1</v>
      </c>
      <c r="C14" s="39" t="str">
        <f t="shared" si="12"/>
        <v>CORPORACIÓN UNIVERSITARIA MARÍA</v>
      </c>
      <c r="D14" s="4">
        <f t="shared" si="1"/>
        <v>5446573</v>
      </c>
      <c r="E14" s="4" t="str">
        <f t="shared" si="2"/>
        <v>Carrera 23 N° 63-36</v>
      </c>
      <c r="F14" s="3" t="str">
        <f t="shared" si="3"/>
        <v>Risaralda</v>
      </c>
      <c r="G14" s="39" t="str">
        <f t="shared" si="4"/>
        <v>LIBRO CONTABLE</v>
      </c>
      <c r="H14" s="3">
        <f t="shared" si="5"/>
        <v>15</v>
      </c>
      <c r="I14" s="3">
        <f t="shared" si="6"/>
        <v>30</v>
      </c>
      <c r="J14" s="3">
        <f t="shared" si="7"/>
        <v>4500</v>
      </c>
      <c r="K14" s="6">
        <f t="shared" si="13"/>
        <v>67500</v>
      </c>
      <c r="L14" s="6">
        <f t="shared" si="8"/>
        <v>2025</v>
      </c>
      <c r="M14" s="46">
        <f t="shared" si="16"/>
        <v>65475</v>
      </c>
      <c r="N14" s="47">
        <f t="shared" si="9"/>
        <v>0</v>
      </c>
      <c r="O14" s="6">
        <f t="shared" si="10"/>
        <v>2291.625</v>
      </c>
      <c r="P14" s="42">
        <f t="shared" si="14"/>
        <v>63183.375</v>
      </c>
      <c r="Q14" s="42" t="str">
        <f t="shared" si="11"/>
        <v>CONTADO</v>
      </c>
      <c r="R14" s="42" t="str">
        <f t="shared" si="15"/>
        <v>Mala Demanda</v>
      </c>
    </row>
    <row r="15" spans="1:18" ht="34.5" hidden="1" customHeight="1" x14ac:dyDescent="0.25">
      <c r="A15" s="3">
        <v>709</v>
      </c>
      <c r="B15" s="3" t="str">
        <f t="shared" si="0"/>
        <v>8605008517-8</v>
      </c>
      <c r="C15" s="39" t="str">
        <f t="shared" si="12"/>
        <v>UNIVERSIDAD ECCI</v>
      </c>
      <c r="D15" s="4">
        <f t="shared" si="1"/>
        <v>3689618</v>
      </c>
      <c r="E15" s="4" t="str">
        <f t="shared" si="2"/>
        <v>Calle 41 N° 27A-56</v>
      </c>
      <c r="F15" s="3" t="str">
        <f t="shared" si="3"/>
        <v>Bolivar</v>
      </c>
      <c r="G15" s="39" t="str">
        <f t="shared" si="4"/>
        <v>CAJA DE COLORES NORMA</v>
      </c>
      <c r="H15" s="3">
        <f t="shared" si="5"/>
        <v>28</v>
      </c>
      <c r="I15" s="3">
        <f t="shared" si="6"/>
        <v>8</v>
      </c>
      <c r="J15" s="3">
        <f t="shared" si="7"/>
        <v>9500</v>
      </c>
      <c r="K15" s="6">
        <f t="shared" si="13"/>
        <v>266000</v>
      </c>
      <c r="L15" s="6">
        <f t="shared" si="8"/>
        <v>11970</v>
      </c>
      <c r="M15" s="46">
        <f t="shared" si="16"/>
        <v>254030</v>
      </c>
      <c r="N15" s="47">
        <f t="shared" si="9"/>
        <v>48265.7</v>
      </c>
      <c r="O15" s="6">
        <f t="shared" si="10"/>
        <v>8891.0500000000011</v>
      </c>
      <c r="P15" s="42">
        <f t="shared" si="14"/>
        <v>293404.65000000002</v>
      </c>
      <c r="Q15" s="42" t="str">
        <f t="shared" si="11"/>
        <v>CRÉDITO</v>
      </c>
      <c r="R15" s="42" t="str">
        <f t="shared" si="15"/>
        <v>Buena Demanda</v>
      </c>
    </row>
    <row r="16" spans="1:18" ht="34.5" hidden="1" customHeight="1" x14ac:dyDescent="0.25">
      <c r="A16" s="3">
        <v>710</v>
      </c>
      <c r="B16" s="3" t="str">
        <f t="shared" si="0"/>
        <v>890985856-3</v>
      </c>
      <c r="C16" s="39" t="str">
        <f t="shared" si="12"/>
        <v>ESCUELA COLOMBIANA DE  INGENIERIA</v>
      </c>
      <c r="D16" s="4">
        <f t="shared" si="1"/>
        <v>2451333</v>
      </c>
      <c r="E16" s="4" t="str">
        <f t="shared" si="2"/>
        <v>Calle 46 N° 13-43</v>
      </c>
      <c r="F16" s="3" t="str">
        <f t="shared" si="3"/>
        <v>Valle del Cauca</v>
      </c>
      <c r="G16" s="39" t="str">
        <f t="shared" si="4"/>
        <v xml:space="preserve">CAJA DE RESMAS TAMAÑO OFICIO </v>
      </c>
      <c r="H16" s="3">
        <f t="shared" si="5"/>
        <v>35</v>
      </c>
      <c r="I16" s="3">
        <f t="shared" si="6"/>
        <v>6</v>
      </c>
      <c r="J16" s="3">
        <f t="shared" si="7"/>
        <v>34890</v>
      </c>
      <c r="K16" s="6">
        <f t="shared" si="13"/>
        <v>1221150</v>
      </c>
      <c r="L16" s="6">
        <f t="shared" si="8"/>
        <v>61057.5</v>
      </c>
      <c r="M16" s="46">
        <f t="shared" si="16"/>
        <v>1160092.5</v>
      </c>
      <c r="N16" s="47">
        <f t="shared" si="9"/>
        <v>220417.57500000001</v>
      </c>
      <c r="O16" s="6">
        <f t="shared" si="10"/>
        <v>0</v>
      </c>
      <c r="P16" s="42">
        <f t="shared" si="14"/>
        <v>1380510.075</v>
      </c>
      <c r="Q16" s="42" t="str">
        <f t="shared" si="11"/>
        <v>CRÉDITO</v>
      </c>
      <c r="R16" s="42" t="str">
        <f t="shared" si="15"/>
        <v>Buena Demanda</v>
      </c>
    </row>
    <row r="17" spans="1:18" ht="34.5" hidden="1" customHeight="1" x14ac:dyDescent="0.25">
      <c r="A17" s="3">
        <v>711</v>
      </c>
      <c r="B17" s="3" t="str">
        <f t="shared" si="0"/>
        <v>800003863-5</v>
      </c>
      <c r="C17" s="39" t="str">
        <f t="shared" si="12"/>
        <v>ESCUELA NACIONAL DE DEPORTE</v>
      </c>
      <c r="D17" s="4">
        <f t="shared" si="1"/>
        <v>2826786</v>
      </c>
      <c r="E17" s="4" t="str">
        <f t="shared" si="2"/>
        <v>Calle 19 N° 3-16</v>
      </c>
      <c r="F17" s="3" t="str">
        <f t="shared" si="3"/>
        <v>Santander</v>
      </c>
      <c r="G17" s="39" t="str">
        <f t="shared" si="4"/>
        <v>LIBRO CONTABLE</v>
      </c>
      <c r="H17" s="3">
        <f t="shared" si="5"/>
        <v>45</v>
      </c>
      <c r="I17" s="3">
        <f t="shared" si="6"/>
        <v>30</v>
      </c>
      <c r="J17" s="3">
        <f t="shared" si="7"/>
        <v>4500</v>
      </c>
      <c r="K17" s="6">
        <f t="shared" si="13"/>
        <v>202500</v>
      </c>
      <c r="L17" s="6">
        <f t="shared" si="8"/>
        <v>10125</v>
      </c>
      <c r="M17" s="46">
        <f t="shared" si="16"/>
        <v>192375</v>
      </c>
      <c r="N17" s="47">
        <f t="shared" si="9"/>
        <v>36551.25</v>
      </c>
      <c r="O17" s="6">
        <f t="shared" si="10"/>
        <v>6733.1250000000009</v>
      </c>
      <c r="P17" s="42">
        <f t="shared" si="14"/>
        <v>222193.125</v>
      </c>
      <c r="Q17" s="42" t="str">
        <f t="shared" si="11"/>
        <v>CONTADO</v>
      </c>
      <c r="R17" s="42" t="str">
        <f t="shared" si="15"/>
        <v>Mala Demanda</v>
      </c>
    </row>
    <row r="18" spans="1:18" ht="34.5" customHeight="1" x14ac:dyDescent="0.25">
      <c r="A18" s="3">
        <v>712</v>
      </c>
      <c r="B18" s="3" t="str">
        <f t="shared" si="0"/>
        <v>860401734-9</v>
      </c>
      <c r="C18" s="39" t="str">
        <f t="shared" si="12"/>
        <v>UNIVERSIDAD NACIONAL</v>
      </c>
      <c r="D18" s="4">
        <f t="shared" si="1"/>
        <v>4500040</v>
      </c>
      <c r="E18" s="4" t="str">
        <f t="shared" si="2"/>
        <v>Calle 48 N° 50-30</v>
      </c>
      <c r="F18" s="3" t="str">
        <f t="shared" si="3"/>
        <v>Antioquia</v>
      </c>
      <c r="G18" s="39" t="str">
        <f t="shared" si="4"/>
        <v>ROLLOS PARA IMPRESORA DE CAJA X 6 U.</v>
      </c>
      <c r="H18" s="3">
        <f t="shared" si="5"/>
        <v>42</v>
      </c>
      <c r="I18" s="3">
        <f t="shared" si="6"/>
        <v>4</v>
      </c>
      <c r="J18" s="3">
        <f t="shared" si="7"/>
        <v>7654</v>
      </c>
      <c r="K18" s="6">
        <f t="shared" si="13"/>
        <v>321468</v>
      </c>
      <c r="L18" s="6">
        <f t="shared" si="8"/>
        <v>16073.400000000001</v>
      </c>
      <c r="M18" s="46">
        <f t="shared" si="16"/>
        <v>305394.59999999998</v>
      </c>
      <c r="N18" s="47">
        <f t="shared" si="9"/>
        <v>58024.973999999995</v>
      </c>
      <c r="O18" s="6">
        <f t="shared" si="10"/>
        <v>10688.811</v>
      </c>
      <c r="P18" s="42">
        <f t="shared" si="14"/>
        <v>352730.76299999998</v>
      </c>
      <c r="Q18" s="42" t="str">
        <f t="shared" si="11"/>
        <v>CONTADO</v>
      </c>
      <c r="R18" s="42" t="str">
        <f t="shared" si="15"/>
        <v>Buena Demanda</v>
      </c>
    </row>
    <row r="19" spans="1:18" ht="46.5" customHeight="1" x14ac:dyDescent="0.25">
      <c r="A19" s="3">
        <v>713</v>
      </c>
      <c r="B19" s="3" t="str">
        <f t="shared" si="0"/>
        <v>864366098-5</v>
      </c>
      <c r="C19" s="39" t="str">
        <f t="shared" si="12"/>
        <v xml:space="preserve">FUNDACIÓN UNIVERSITARIA AUTONOMA </v>
      </c>
      <c r="D19" s="4">
        <f t="shared" si="1"/>
        <v>3078180</v>
      </c>
      <c r="E19" s="4" t="str">
        <f t="shared" si="2"/>
        <v>Calle 34 N° 15-36</v>
      </c>
      <c r="F19" s="3" t="str">
        <f t="shared" si="3"/>
        <v>Risaralda</v>
      </c>
      <c r="G19" s="39" t="str">
        <f t="shared" si="4"/>
        <v>ROLLOS PARA IMPRESORA DE CAJA X 6 U.</v>
      </c>
      <c r="H19" s="3">
        <f t="shared" si="5"/>
        <v>20</v>
      </c>
      <c r="I19" s="3">
        <f t="shared" si="6"/>
        <v>4</v>
      </c>
      <c r="J19" s="3">
        <f t="shared" si="7"/>
        <v>7654</v>
      </c>
      <c r="K19" s="6">
        <f t="shared" si="13"/>
        <v>153080</v>
      </c>
      <c r="L19" s="6">
        <f t="shared" si="8"/>
        <v>4592.3999999999996</v>
      </c>
      <c r="M19" s="46">
        <f t="shared" si="16"/>
        <v>148487.6</v>
      </c>
      <c r="N19" s="47">
        <f t="shared" si="9"/>
        <v>28212.644</v>
      </c>
      <c r="O19" s="6">
        <f t="shared" si="10"/>
        <v>5197.0660000000007</v>
      </c>
      <c r="P19" s="42">
        <f t="shared" si="14"/>
        <v>171503.17800000001</v>
      </c>
      <c r="Q19" s="42" t="str">
        <f t="shared" si="11"/>
        <v>CRÉDITO</v>
      </c>
      <c r="R19" s="42" t="str">
        <f t="shared" si="15"/>
        <v>Buena Demanda</v>
      </c>
    </row>
    <row r="20" spans="1:18" ht="34.5" hidden="1" customHeight="1" x14ac:dyDescent="0.25">
      <c r="A20" s="3">
        <v>714</v>
      </c>
      <c r="B20" s="3" t="str">
        <f t="shared" si="0"/>
        <v>862504543-1</v>
      </c>
      <c r="C20" s="39" t="str">
        <f t="shared" si="12"/>
        <v>CORPORACION ARTES Y OFICIOS</v>
      </c>
      <c r="D20" s="4">
        <f t="shared" si="1"/>
        <v>2321617</v>
      </c>
      <c r="E20" s="4" t="str">
        <f t="shared" si="2"/>
        <v>Calle 33 N° 11-50</v>
      </c>
      <c r="F20" s="3" t="str">
        <f t="shared" si="3"/>
        <v>Nariño</v>
      </c>
      <c r="G20" s="39" t="str">
        <f t="shared" si="4"/>
        <v>BLOCK TAMAÑO CARTA</v>
      </c>
      <c r="H20" s="3">
        <f t="shared" si="5"/>
        <v>29</v>
      </c>
      <c r="I20" s="3">
        <f t="shared" si="6"/>
        <v>2</v>
      </c>
      <c r="J20" s="3">
        <f t="shared" si="7"/>
        <v>2400</v>
      </c>
      <c r="K20" s="6">
        <f t="shared" si="13"/>
        <v>69600</v>
      </c>
      <c r="L20" s="6">
        <f t="shared" si="8"/>
        <v>3132</v>
      </c>
      <c r="M20" s="46">
        <f t="shared" si="16"/>
        <v>66468</v>
      </c>
      <c r="N20" s="47">
        <f t="shared" si="9"/>
        <v>0</v>
      </c>
      <c r="O20" s="6">
        <f t="shared" si="10"/>
        <v>2326.38</v>
      </c>
      <c r="P20" s="42">
        <f t="shared" si="14"/>
        <v>64141.62</v>
      </c>
      <c r="Q20" s="42" t="str">
        <f t="shared" si="11"/>
        <v>CONTADO</v>
      </c>
      <c r="R20" s="42" t="str">
        <f t="shared" si="15"/>
        <v>Buena Demanda</v>
      </c>
    </row>
    <row r="21" spans="1:18" ht="34.5" hidden="1" customHeight="1" x14ac:dyDescent="0.25">
      <c r="A21" s="3">
        <v>715</v>
      </c>
      <c r="B21" s="3" t="str">
        <f t="shared" si="0"/>
        <v>8607108517-8</v>
      </c>
      <c r="C21" s="39" t="str">
        <f t="shared" si="12"/>
        <v>CASA DE LA CULTURA PEDRITO RUIZ</v>
      </c>
      <c r="D21" s="4">
        <f t="shared" si="1"/>
        <v>3232964</v>
      </c>
      <c r="E21" s="4" t="str">
        <f t="shared" si="2"/>
        <v>Carrera 9 N° 45 A-44</v>
      </c>
      <c r="F21" s="3" t="str">
        <f t="shared" si="3"/>
        <v>Valle del Cauca</v>
      </c>
      <c r="G21" s="39" t="str">
        <f t="shared" si="4"/>
        <v>GRAPADORA MEDIANA</v>
      </c>
      <c r="H21" s="3">
        <f t="shared" si="5"/>
        <v>30</v>
      </c>
      <c r="I21" s="3">
        <f t="shared" si="6"/>
        <v>30</v>
      </c>
      <c r="J21" s="3">
        <f t="shared" si="7"/>
        <v>4708</v>
      </c>
      <c r="K21" s="6">
        <f t="shared" si="13"/>
        <v>141240</v>
      </c>
      <c r="L21" s="6">
        <f t="shared" si="8"/>
        <v>6355.8</v>
      </c>
      <c r="M21" s="46">
        <f t="shared" si="16"/>
        <v>134884.20000000001</v>
      </c>
      <c r="N21" s="47">
        <f t="shared" si="9"/>
        <v>25627.998000000003</v>
      </c>
      <c r="O21" s="6">
        <f t="shared" si="10"/>
        <v>4720.947000000001</v>
      </c>
      <c r="P21" s="42">
        <f t="shared" si="14"/>
        <v>155791.25099999999</v>
      </c>
      <c r="Q21" s="42" t="str">
        <f t="shared" si="11"/>
        <v>CRÉDITO</v>
      </c>
      <c r="R21" s="42" t="str">
        <f t="shared" si="15"/>
        <v>Mala Demanda</v>
      </c>
    </row>
    <row r="22" spans="1:18" ht="46.5" hidden="1" customHeight="1" x14ac:dyDescent="0.25">
      <c r="A22" s="3">
        <v>716</v>
      </c>
      <c r="B22" s="3" t="str">
        <f t="shared" si="0"/>
        <v>891995856-3</v>
      </c>
      <c r="C22" s="39" t="str">
        <f t="shared" si="12"/>
        <v>FUNDACIÓN UNIVERSITARIA SAN MARTIN</v>
      </c>
      <c r="D22" s="4">
        <f t="shared" si="1"/>
        <v>7232452</v>
      </c>
      <c r="E22" s="4" t="str">
        <f t="shared" si="2"/>
        <v>Carrera 28 N° 19-24</v>
      </c>
      <c r="F22" s="3" t="str">
        <f t="shared" si="3"/>
        <v>Cundinamarca</v>
      </c>
      <c r="G22" s="39" t="str">
        <f t="shared" si="4"/>
        <v>BLOCK TAMAÑO CARTA</v>
      </c>
      <c r="H22" s="3">
        <f t="shared" si="5"/>
        <v>25</v>
      </c>
      <c r="I22" s="3">
        <f t="shared" si="6"/>
        <v>7</v>
      </c>
      <c r="J22" s="3">
        <f t="shared" si="7"/>
        <v>2400</v>
      </c>
      <c r="K22" s="6">
        <f t="shared" si="13"/>
        <v>60000</v>
      </c>
      <c r="L22" s="6">
        <f t="shared" si="8"/>
        <v>2700</v>
      </c>
      <c r="M22" s="46">
        <f t="shared" si="16"/>
        <v>57300</v>
      </c>
      <c r="N22" s="47">
        <f t="shared" si="9"/>
        <v>0</v>
      </c>
      <c r="O22" s="6">
        <f t="shared" si="10"/>
        <v>2005.5000000000002</v>
      </c>
      <c r="P22" s="42">
        <f t="shared" si="14"/>
        <v>55294.5</v>
      </c>
      <c r="Q22" s="42" t="str">
        <f t="shared" si="11"/>
        <v>CONTADO</v>
      </c>
      <c r="R22" s="42" t="str">
        <f t="shared" si="15"/>
        <v>Buena Demanda</v>
      </c>
    </row>
    <row r="23" spans="1:18" ht="34.5" hidden="1" customHeight="1" x14ac:dyDescent="0.25">
      <c r="A23" s="3">
        <v>717</v>
      </c>
      <c r="B23" s="3" t="str">
        <f t="shared" si="0"/>
        <v>800203863-5</v>
      </c>
      <c r="C23" s="39" t="str">
        <f t="shared" si="12"/>
        <v>INSTITUCIÓN UNIVERSITARIA ESCOLME</v>
      </c>
      <c r="D23" s="4">
        <f t="shared" si="1"/>
        <v>8213000</v>
      </c>
      <c r="E23" s="4" t="str">
        <f t="shared" si="2"/>
        <v>Calle 5 N° 3-85</v>
      </c>
      <c r="F23" s="3" t="str">
        <f t="shared" si="3"/>
        <v>Cundinamarca</v>
      </c>
      <c r="G23" s="39" t="str">
        <f t="shared" si="4"/>
        <v>CAJA LAPIZ MIRADO No. 2   X12 U</v>
      </c>
      <c r="H23" s="3">
        <f t="shared" si="5"/>
        <v>35</v>
      </c>
      <c r="I23" s="3">
        <f t="shared" si="6"/>
        <v>15</v>
      </c>
      <c r="J23" s="3">
        <f t="shared" si="7"/>
        <v>7680</v>
      </c>
      <c r="K23" s="6">
        <f t="shared" si="13"/>
        <v>268800</v>
      </c>
      <c r="L23" s="6">
        <f t="shared" si="8"/>
        <v>13440</v>
      </c>
      <c r="M23" s="46">
        <f t="shared" si="16"/>
        <v>255360</v>
      </c>
      <c r="N23" s="47">
        <f t="shared" si="9"/>
        <v>48518.400000000001</v>
      </c>
      <c r="O23" s="6">
        <f t="shared" si="10"/>
        <v>8937.6</v>
      </c>
      <c r="P23" s="42">
        <f t="shared" si="14"/>
        <v>294940.80000000005</v>
      </c>
      <c r="Q23" s="42" t="str">
        <f t="shared" si="11"/>
        <v>CRÉDITO</v>
      </c>
      <c r="R23" s="42" t="str">
        <f t="shared" si="15"/>
        <v>Mala Demanda</v>
      </c>
    </row>
    <row r="24" spans="1:18" ht="34.5" hidden="1" customHeight="1" x14ac:dyDescent="0.25">
      <c r="A24" s="3">
        <v>718</v>
      </c>
      <c r="B24" s="3" t="str">
        <f t="shared" si="0"/>
        <v>860421734-9</v>
      </c>
      <c r="C24" s="39" t="str">
        <f t="shared" si="12"/>
        <v>FUNDACIÓN UNIVERSITARIA INPAHU</v>
      </c>
      <c r="D24" s="4">
        <f t="shared" si="1"/>
        <v>2459170</v>
      </c>
      <c r="E24" s="4" t="str">
        <f t="shared" si="2"/>
        <v>Calle 30 N° 35-18</v>
      </c>
      <c r="F24" s="3" t="str">
        <f t="shared" si="3"/>
        <v>Atlántico</v>
      </c>
      <c r="G24" s="39" t="str">
        <f t="shared" si="4"/>
        <v>GRAPADORA PEQUEÑA</v>
      </c>
      <c r="H24" s="3">
        <f t="shared" si="5"/>
        <v>37</v>
      </c>
      <c r="I24" s="3">
        <f t="shared" si="6"/>
        <v>30</v>
      </c>
      <c r="J24" s="3">
        <f t="shared" si="7"/>
        <v>2456</v>
      </c>
      <c r="K24" s="6">
        <f t="shared" si="13"/>
        <v>90872</v>
      </c>
      <c r="L24" s="6">
        <f t="shared" si="8"/>
        <v>4543.6000000000004</v>
      </c>
      <c r="M24" s="46">
        <f t="shared" si="16"/>
        <v>86328.4</v>
      </c>
      <c r="N24" s="47">
        <f t="shared" si="9"/>
        <v>0</v>
      </c>
      <c r="O24" s="6">
        <f t="shared" si="10"/>
        <v>3021.4940000000001</v>
      </c>
      <c r="P24" s="42">
        <f t="shared" si="14"/>
        <v>83306.905999999988</v>
      </c>
      <c r="Q24" s="42" t="str">
        <f t="shared" si="11"/>
        <v>CONTADO</v>
      </c>
      <c r="R24" s="42" t="str">
        <f t="shared" si="15"/>
        <v>Mala Demanda</v>
      </c>
    </row>
    <row r="25" spans="1:18" ht="34.5" customHeight="1" x14ac:dyDescent="0.25">
      <c r="A25" s="3">
        <v>719</v>
      </c>
      <c r="B25" s="3" t="str">
        <f t="shared" si="0"/>
        <v>890310903-5</v>
      </c>
      <c r="C25" s="39" t="str">
        <f t="shared" si="12"/>
        <v>UNIVERSIDAD DE ANTIOQUIA</v>
      </c>
      <c r="D25" s="4">
        <f t="shared" si="1"/>
        <v>8213000</v>
      </c>
      <c r="E25" s="4" t="str">
        <f t="shared" si="2"/>
        <v>Calle 5 N° 3-85</v>
      </c>
      <c r="F25" s="3" t="str">
        <f t="shared" si="3"/>
        <v>Antioquia</v>
      </c>
      <c r="G25" s="39" t="str">
        <f t="shared" si="4"/>
        <v>BLOCK TAMAÑO CARTA</v>
      </c>
      <c r="H25" s="3">
        <f t="shared" si="5"/>
        <v>30</v>
      </c>
      <c r="I25" s="3">
        <f t="shared" si="6"/>
        <v>5</v>
      </c>
      <c r="J25" s="3">
        <f t="shared" si="7"/>
        <v>2400</v>
      </c>
      <c r="K25" s="6">
        <f t="shared" si="13"/>
        <v>72000</v>
      </c>
      <c r="L25" s="6">
        <f t="shared" si="8"/>
        <v>3240</v>
      </c>
      <c r="M25" s="46">
        <f t="shared" si="16"/>
        <v>68760</v>
      </c>
      <c r="N25" s="47">
        <f t="shared" si="9"/>
        <v>0</v>
      </c>
      <c r="O25" s="6">
        <f t="shared" si="10"/>
        <v>2406.6000000000004</v>
      </c>
      <c r="P25" s="42">
        <f t="shared" si="14"/>
        <v>66353.399999999994</v>
      </c>
      <c r="Q25" s="42" t="str">
        <f t="shared" si="11"/>
        <v>CRÉDITO</v>
      </c>
      <c r="R25" s="42" t="str">
        <f t="shared" si="15"/>
        <v>Buena Demanda</v>
      </c>
    </row>
    <row r="26" spans="1:18" ht="34.5" hidden="1" customHeight="1" x14ac:dyDescent="0.25">
      <c r="A26" s="3">
        <v>720</v>
      </c>
      <c r="B26" s="3" t="str">
        <f t="shared" si="0"/>
        <v>890212433-5</v>
      </c>
      <c r="C26" s="39" t="str">
        <f t="shared" si="12"/>
        <v>UNIVERSIDAD TÉCNICO AGRÍCOLA ITA</v>
      </c>
      <c r="D26" s="4">
        <f t="shared" si="1"/>
        <v>3172267</v>
      </c>
      <c r="E26" s="4" t="str">
        <f t="shared" si="2"/>
        <v>Carrera 53 N° 59-70</v>
      </c>
      <c r="F26" s="3" t="str">
        <f t="shared" si="3"/>
        <v>Nariño</v>
      </c>
      <c r="G26" s="39" t="str">
        <f t="shared" si="4"/>
        <v>CAJA DE LAPICEROS KILOMETRICO X 12 U</v>
      </c>
      <c r="H26" s="3">
        <f t="shared" si="5"/>
        <v>45</v>
      </c>
      <c r="I26" s="3">
        <f t="shared" si="6"/>
        <v>3</v>
      </c>
      <c r="J26" s="3">
        <f t="shared" si="7"/>
        <v>3500</v>
      </c>
      <c r="K26" s="6">
        <f t="shared" si="13"/>
        <v>157500</v>
      </c>
      <c r="L26" s="6">
        <f t="shared" si="8"/>
        <v>7875</v>
      </c>
      <c r="M26" s="46">
        <f t="shared" si="16"/>
        <v>149625</v>
      </c>
      <c r="N26" s="47">
        <f t="shared" si="9"/>
        <v>28428.75</v>
      </c>
      <c r="O26" s="6">
        <f t="shared" si="10"/>
        <v>5236.8750000000009</v>
      </c>
      <c r="P26" s="42">
        <f t="shared" si="14"/>
        <v>172816.875</v>
      </c>
      <c r="Q26" s="42" t="str">
        <f t="shared" si="11"/>
        <v>CONTADO</v>
      </c>
      <c r="R26" s="42" t="str">
        <f t="shared" si="15"/>
        <v>Buena Demanda</v>
      </c>
    </row>
    <row r="27" spans="1:18" ht="34.5" customHeight="1" x14ac:dyDescent="0.25">
      <c r="A27" s="3">
        <v>721</v>
      </c>
      <c r="B27" s="3" t="str">
        <f t="shared" si="0"/>
        <v>823004609-9</v>
      </c>
      <c r="C27" s="39" t="str">
        <f t="shared" si="12"/>
        <v>INSTITUTO DEPARTAMENTAL ARTES</v>
      </c>
      <c r="D27" s="4">
        <f t="shared" si="1"/>
        <v>6061101</v>
      </c>
      <c r="E27" s="4" t="str">
        <f t="shared" si="2"/>
        <v>Calle 70 N° 10 A-39</v>
      </c>
      <c r="F27" s="3" t="str">
        <f t="shared" si="3"/>
        <v>Risaralda</v>
      </c>
      <c r="G27" s="39" t="str">
        <f t="shared" si="4"/>
        <v>CARPETAS PARA ARCHIVO TAMAÑO OFICIO</v>
      </c>
      <c r="H27" s="3">
        <f t="shared" si="5"/>
        <v>32</v>
      </c>
      <c r="I27" s="3">
        <f t="shared" si="6"/>
        <v>30</v>
      </c>
      <c r="J27" s="3">
        <f t="shared" si="7"/>
        <v>7100</v>
      </c>
      <c r="K27" s="6">
        <f t="shared" si="13"/>
        <v>227200</v>
      </c>
      <c r="L27" s="6">
        <f t="shared" si="8"/>
        <v>11360</v>
      </c>
      <c r="M27" s="46">
        <f t="shared" si="16"/>
        <v>215840</v>
      </c>
      <c r="N27" s="47">
        <f t="shared" si="9"/>
        <v>41009.599999999999</v>
      </c>
      <c r="O27" s="6">
        <f t="shared" si="10"/>
        <v>7554.4000000000005</v>
      </c>
      <c r="P27" s="42">
        <f t="shared" si="14"/>
        <v>249295.2</v>
      </c>
      <c r="Q27" s="42" t="str">
        <f t="shared" si="11"/>
        <v>CRÉDITO</v>
      </c>
      <c r="R27" s="42" t="str">
        <f t="shared" si="15"/>
        <v>Mala Demanda</v>
      </c>
    </row>
    <row r="28" spans="1:18" ht="34.5" hidden="1" customHeight="1" x14ac:dyDescent="0.25">
      <c r="A28" s="3">
        <v>722</v>
      </c>
      <c r="B28" s="3" t="str">
        <f t="shared" si="0"/>
        <v>890982134-3</v>
      </c>
      <c r="C28" s="39" t="str">
        <f t="shared" si="12"/>
        <v>UNIVERSIDAD ANTIONIO JOSÉ</v>
      </c>
      <c r="D28" s="4">
        <f t="shared" si="1"/>
        <v>2812282</v>
      </c>
      <c r="E28" s="4" t="str">
        <f t="shared" si="2"/>
        <v>Calle 27 N° 21-49</v>
      </c>
      <c r="F28" s="3" t="str">
        <f t="shared" si="3"/>
        <v>Sucre</v>
      </c>
      <c r="G28" s="39" t="str">
        <f t="shared" si="4"/>
        <v>CARPETAS PARA ARCHIVO TAMAÑO CARTA</v>
      </c>
      <c r="H28" s="3">
        <f t="shared" si="5"/>
        <v>24</v>
      </c>
      <c r="I28" s="3">
        <f t="shared" si="6"/>
        <v>30</v>
      </c>
      <c r="J28" s="3">
        <f t="shared" si="7"/>
        <v>4500</v>
      </c>
      <c r="K28" s="6">
        <f t="shared" si="13"/>
        <v>108000</v>
      </c>
      <c r="L28" s="6">
        <f t="shared" si="8"/>
        <v>4860</v>
      </c>
      <c r="M28" s="46">
        <f t="shared" si="16"/>
        <v>103140</v>
      </c>
      <c r="N28" s="47">
        <f t="shared" si="9"/>
        <v>19596.599999999999</v>
      </c>
      <c r="O28" s="6">
        <f t="shared" si="10"/>
        <v>3609.9000000000005</v>
      </c>
      <c r="P28" s="42">
        <f t="shared" si="14"/>
        <v>119126.70000000001</v>
      </c>
      <c r="Q28" s="42" t="str">
        <f t="shared" si="11"/>
        <v>CONTADO</v>
      </c>
      <c r="R28" s="42" t="str">
        <f t="shared" si="15"/>
        <v>Mala Demanda</v>
      </c>
    </row>
    <row r="29" spans="1:18" ht="43.5" hidden="1" customHeight="1" x14ac:dyDescent="0.25">
      <c r="A29" s="3">
        <v>723</v>
      </c>
      <c r="B29" s="3" t="str">
        <f t="shared" si="0"/>
        <v>892480054-9</v>
      </c>
      <c r="C29" s="39" t="str">
        <f t="shared" si="12"/>
        <v>INSTITUCIÓN DE EDUCACIÓN EMPRESARIAL</v>
      </c>
      <c r="D29" s="4">
        <f t="shared" si="1"/>
        <v>2804017</v>
      </c>
      <c r="E29" s="4" t="str">
        <f t="shared" si="2"/>
        <v>Calle 21 N° 6-01</v>
      </c>
      <c r="F29" s="3" t="str">
        <f t="shared" si="3"/>
        <v>Sucre</v>
      </c>
      <c r="G29" s="39" t="str">
        <f t="shared" si="4"/>
        <v>CARPETAS PARA ARCHIVO TAMAÑO CARTA</v>
      </c>
      <c r="H29" s="3">
        <f t="shared" si="5"/>
        <v>21</v>
      </c>
      <c r="I29" s="3">
        <f t="shared" si="6"/>
        <v>30</v>
      </c>
      <c r="J29" s="3">
        <f t="shared" si="7"/>
        <v>4500</v>
      </c>
      <c r="K29" s="6">
        <f t="shared" si="13"/>
        <v>94500</v>
      </c>
      <c r="L29" s="6">
        <f t="shared" si="8"/>
        <v>4252.5</v>
      </c>
      <c r="M29" s="46">
        <f t="shared" si="16"/>
        <v>90247.5</v>
      </c>
      <c r="N29" s="47">
        <f t="shared" si="9"/>
        <v>17147.025000000001</v>
      </c>
      <c r="O29" s="6">
        <f t="shared" si="10"/>
        <v>3158.6625000000004</v>
      </c>
      <c r="P29" s="42">
        <f t="shared" si="14"/>
        <v>104235.86249999999</v>
      </c>
      <c r="Q29" s="42" t="str">
        <f t="shared" si="11"/>
        <v>CRÉDITO</v>
      </c>
      <c r="R29" s="42" t="str">
        <f t="shared" si="15"/>
        <v>Mala Demanda</v>
      </c>
    </row>
    <row r="30" spans="1:18" ht="34.5" hidden="1" customHeight="1" x14ac:dyDescent="0.25">
      <c r="A30" s="3">
        <v>724</v>
      </c>
      <c r="B30" s="3" t="str">
        <f t="shared" si="0"/>
        <v>891421189-6</v>
      </c>
      <c r="C30" s="39" t="str">
        <f t="shared" si="12"/>
        <v xml:space="preserve">UNIVERSIDAD CENTRAL </v>
      </c>
      <c r="D30" s="4">
        <f t="shared" si="1"/>
        <v>3681013</v>
      </c>
      <c r="E30" s="4" t="str">
        <f t="shared" si="2"/>
        <v>Carrera 50 N° 79-155</v>
      </c>
      <c r="F30" s="3" t="str">
        <f t="shared" si="3"/>
        <v>Valle del Cauca</v>
      </c>
      <c r="G30" s="39" t="str">
        <f t="shared" si="4"/>
        <v xml:space="preserve">MORRAL </v>
      </c>
      <c r="H30" s="3">
        <f t="shared" si="5"/>
        <v>26</v>
      </c>
      <c r="I30" s="3">
        <f t="shared" si="6"/>
        <v>30</v>
      </c>
      <c r="J30" s="3">
        <f t="shared" si="7"/>
        <v>24000</v>
      </c>
      <c r="K30" s="6">
        <f t="shared" si="13"/>
        <v>624000</v>
      </c>
      <c r="L30" s="6">
        <f t="shared" si="8"/>
        <v>28080</v>
      </c>
      <c r="M30" s="46">
        <f t="shared" si="16"/>
        <v>595920</v>
      </c>
      <c r="N30" s="47">
        <f t="shared" si="9"/>
        <v>113224.8</v>
      </c>
      <c r="O30" s="6">
        <f t="shared" si="10"/>
        <v>0</v>
      </c>
      <c r="P30" s="42">
        <f t="shared" si="14"/>
        <v>709144.8</v>
      </c>
      <c r="Q30" s="42" t="str">
        <f t="shared" si="11"/>
        <v>CONTADO</v>
      </c>
      <c r="R30" s="42" t="str">
        <f t="shared" si="15"/>
        <v>Mala Demanda</v>
      </c>
    </row>
    <row r="31" spans="1:18" ht="34.5" customHeight="1" x14ac:dyDescent="0.25">
      <c r="A31" s="3">
        <v>725</v>
      </c>
      <c r="B31" s="3" t="str">
        <f t="shared" si="0"/>
        <v>8902704562-5</v>
      </c>
      <c r="C31" s="39" t="str">
        <f t="shared" si="12"/>
        <v>UNIVERSIDAD EAFIT</v>
      </c>
      <c r="D31" s="4">
        <f t="shared" si="1"/>
        <v>3489292</v>
      </c>
      <c r="E31" s="4" t="str">
        <f t="shared" si="2"/>
        <v>Calle 67 N° 5-27</v>
      </c>
      <c r="F31" s="3" t="str">
        <f t="shared" si="3"/>
        <v>Antioquia</v>
      </c>
      <c r="G31" s="39" t="str">
        <f t="shared" si="4"/>
        <v xml:space="preserve">MORRAL </v>
      </c>
      <c r="H31" s="3">
        <f t="shared" si="5"/>
        <v>39</v>
      </c>
      <c r="I31" s="3">
        <f t="shared" si="6"/>
        <v>30</v>
      </c>
      <c r="J31" s="3">
        <f t="shared" si="7"/>
        <v>24000</v>
      </c>
      <c r="K31" s="6">
        <f t="shared" si="13"/>
        <v>936000</v>
      </c>
      <c r="L31" s="6">
        <f t="shared" si="8"/>
        <v>46800</v>
      </c>
      <c r="M31" s="46">
        <f t="shared" si="16"/>
        <v>889200</v>
      </c>
      <c r="N31" s="47">
        <f t="shared" si="9"/>
        <v>168948</v>
      </c>
      <c r="O31" s="6">
        <f t="shared" si="10"/>
        <v>0</v>
      </c>
      <c r="P31" s="42">
        <f t="shared" si="14"/>
        <v>1058148</v>
      </c>
      <c r="Q31" s="42" t="str">
        <f t="shared" si="11"/>
        <v>CRÉDITO</v>
      </c>
      <c r="R31" s="42" t="str">
        <f t="shared" si="15"/>
        <v>Mala Demanda</v>
      </c>
    </row>
    <row r="32" spans="1:18" ht="34.5" hidden="1" customHeight="1" x14ac:dyDescent="0.25">
      <c r="A32" s="3">
        <v>726</v>
      </c>
      <c r="B32" s="3" t="str">
        <f t="shared" si="0"/>
        <v>891204706-2</v>
      </c>
      <c r="C32" s="39" t="str">
        <f t="shared" si="12"/>
        <v>UNIVERSIDAD DE LOS ANDES</v>
      </c>
      <c r="D32" s="4">
        <f t="shared" si="1"/>
        <v>2916520</v>
      </c>
      <c r="E32" s="4" t="str">
        <f t="shared" si="2"/>
        <v>Calle 81 B N° 79-155</v>
      </c>
      <c r="F32" s="3" t="str">
        <f t="shared" si="3"/>
        <v>Cundinamarca</v>
      </c>
      <c r="G32" s="39" t="str">
        <f t="shared" si="4"/>
        <v xml:space="preserve">CRAYOLAS </v>
      </c>
      <c r="H32" s="3">
        <f t="shared" si="5"/>
        <v>41</v>
      </c>
      <c r="I32" s="3">
        <f t="shared" si="6"/>
        <v>4</v>
      </c>
      <c r="J32" s="3">
        <f t="shared" si="7"/>
        <v>1000</v>
      </c>
      <c r="K32" s="6">
        <f t="shared" si="13"/>
        <v>41000</v>
      </c>
      <c r="L32" s="6">
        <f t="shared" si="8"/>
        <v>2050</v>
      </c>
      <c r="M32" s="46">
        <f t="shared" si="16"/>
        <v>38950</v>
      </c>
      <c r="N32" s="47">
        <f t="shared" si="9"/>
        <v>0</v>
      </c>
      <c r="O32" s="6">
        <f t="shared" si="10"/>
        <v>1363.2500000000002</v>
      </c>
      <c r="P32" s="42">
        <f t="shared" si="14"/>
        <v>37586.75</v>
      </c>
      <c r="Q32" s="42" t="str">
        <f t="shared" si="11"/>
        <v>CONTADO</v>
      </c>
      <c r="R32" s="42" t="str">
        <f t="shared" si="15"/>
        <v>Buena Demanda</v>
      </c>
    </row>
    <row r="33" spans="1:18" ht="46.5" hidden="1" customHeight="1" x14ac:dyDescent="0.25">
      <c r="A33" s="3">
        <v>727</v>
      </c>
      <c r="B33" s="3" t="str">
        <f t="shared" si="0"/>
        <v>893500248-9</v>
      </c>
      <c r="C33" s="39" t="str">
        <f t="shared" si="12"/>
        <v>UNIVERSIDAD AUTONOMA DE OCCIDENTE</v>
      </c>
      <c r="D33" s="4">
        <f t="shared" si="1"/>
        <v>5132100</v>
      </c>
      <c r="E33" s="4" t="str">
        <f t="shared" si="2"/>
        <v>Calle 51 N° 72 A-70</v>
      </c>
      <c r="F33" s="3" t="str">
        <f t="shared" si="3"/>
        <v>Cundinamarca</v>
      </c>
      <c r="G33" s="39" t="str">
        <f t="shared" si="4"/>
        <v>CAJA DE COLORES NORMA</v>
      </c>
      <c r="H33" s="3">
        <f t="shared" si="5"/>
        <v>43</v>
      </c>
      <c r="I33" s="3">
        <f t="shared" si="6"/>
        <v>7</v>
      </c>
      <c r="J33" s="3">
        <f t="shared" si="7"/>
        <v>9500</v>
      </c>
      <c r="K33" s="6">
        <f t="shared" si="13"/>
        <v>408500</v>
      </c>
      <c r="L33" s="6">
        <f t="shared" si="8"/>
        <v>20425</v>
      </c>
      <c r="M33" s="46">
        <f t="shared" si="16"/>
        <v>388075</v>
      </c>
      <c r="N33" s="47">
        <f t="shared" si="9"/>
        <v>73734.25</v>
      </c>
      <c r="O33" s="6">
        <f t="shared" si="10"/>
        <v>13582.625000000002</v>
      </c>
      <c r="P33" s="42">
        <f t="shared" si="14"/>
        <v>448226.625</v>
      </c>
      <c r="Q33" s="42" t="str">
        <f t="shared" si="11"/>
        <v>CRÉDITO</v>
      </c>
      <c r="R33" s="42" t="str">
        <f t="shared" si="15"/>
        <v>Buena Demanda</v>
      </c>
    </row>
    <row r="34" spans="1:18" ht="34.5" customHeight="1" x14ac:dyDescent="0.25">
      <c r="A34" s="3">
        <v>728</v>
      </c>
      <c r="B34" s="3" t="str">
        <f t="shared" si="0"/>
        <v>860503837-7</v>
      </c>
      <c r="C34" s="39" t="str">
        <f t="shared" si="12"/>
        <v>UNIPANAMERICANA</v>
      </c>
      <c r="D34" s="4">
        <f t="shared" si="1"/>
        <v>7434343</v>
      </c>
      <c r="E34" s="4" t="str">
        <f t="shared" si="2"/>
        <v>Calle 76 N° 12-58</v>
      </c>
      <c r="F34" s="3" t="str">
        <f t="shared" si="3"/>
        <v>Risaralda</v>
      </c>
      <c r="G34" s="39" t="str">
        <f t="shared" si="4"/>
        <v xml:space="preserve">CRAYOLAS </v>
      </c>
      <c r="H34" s="3">
        <f t="shared" si="5"/>
        <v>22</v>
      </c>
      <c r="I34" s="3">
        <f t="shared" si="6"/>
        <v>5</v>
      </c>
      <c r="J34" s="3">
        <f t="shared" si="7"/>
        <v>1000</v>
      </c>
      <c r="K34" s="6">
        <f t="shared" si="13"/>
        <v>22000</v>
      </c>
      <c r="L34" s="6">
        <f t="shared" si="8"/>
        <v>990</v>
      </c>
      <c r="M34" s="46">
        <f t="shared" si="16"/>
        <v>21010</v>
      </c>
      <c r="N34" s="47">
        <f t="shared" si="9"/>
        <v>0</v>
      </c>
      <c r="O34" s="6">
        <f t="shared" si="10"/>
        <v>735.35</v>
      </c>
      <c r="P34" s="42">
        <f t="shared" si="14"/>
        <v>20274.650000000001</v>
      </c>
      <c r="Q34" s="42" t="str">
        <f t="shared" si="11"/>
        <v>CRÉDITO</v>
      </c>
      <c r="R34" s="42" t="str">
        <f t="shared" si="15"/>
        <v>Buena Demanda</v>
      </c>
    </row>
    <row r="35" spans="1:18" ht="34.5" hidden="1" customHeight="1" x14ac:dyDescent="0.25">
      <c r="A35" s="3">
        <v>729</v>
      </c>
      <c r="B35" s="3" t="str">
        <f t="shared" si="0"/>
        <v>811005425-1</v>
      </c>
      <c r="C35" s="39" t="str">
        <f t="shared" si="12"/>
        <v>UNIVERSIDAD DE PAMPLONA</v>
      </c>
      <c r="D35" s="4">
        <f t="shared" si="1"/>
        <v>2320606</v>
      </c>
      <c r="E35" s="4" t="str">
        <f t="shared" si="2"/>
        <v>Carrera 19 N° 49-20</v>
      </c>
      <c r="F35" s="3" t="str">
        <f t="shared" si="3"/>
        <v>Sucre</v>
      </c>
      <c r="G35" s="39" t="str">
        <f t="shared" si="4"/>
        <v>GRAPADORA MEDIANA</v>
      </c>
      <c r="H35" s="3">
        <f t="shared" si="5"/>
        <v>20</v>
      </c>
      <c r="I35" s="3">
        <f t="shared" si="6"/>
        <v>30</v>
      </c>
      <c r="J35" s="3">
        <f t="shared" si="7"/>
        <v>4708</v>
      </c>
      <c r="K35" s="6">
        <f t="shared" si="13"/>
        <v>94160</v>
      </c>
      <c r="L35" s="6">
        <f t="shared" si="8"/>
        <v>2824.7999999999997</v>
      </c>
      <c r="M35" s="46">
        <f t="shared" si="16"/>
        <v>91335.2</v>
      </c>
      <c r="N35" s="47">
        <f t="shared" si="9"/>
        <v>17353.687999999998</v>
      </c>
      <c r="O35" s="6">
        <f t="shared" si="10"/>
        <v>3196.7320000000004</v>
      </c>
      <c r="P35" s="42">
        <f t="shared" si="14"/>
        <v>105492.15599999999</v>
      </c>
      <c r="Q35" s="42" t="str">
        <f t="shared" si="11"/>
        <v>CONTADO</v>
      </c>
      <c r="R35" s="42" t="str">
        <f t="shared" si="15"/>
        <v>Mala Demanda</v>
      </c>
    </row>
    <row r="36" spans="1:18" ht="34.5" hidden="1" customHeight="1" x14ac:dyDescent="0.25">
      <c r="A36" s="3">
        <v>730</v>
      </c>
      <c r="B36" s="3" t="str">
        <f t="shared" si="0"/>
        <v>860510627-6</v>
      </c>
      <c r="C36" s="39" t="str">
        <f t="shared" si="12"/>
        <v>UNIVERSIDAD DEL ATLÁNTICO</v>
      </c>
      <c r="D36" s="4">
        <f t="shared" si="1"/>
        <v>2880693</v>
      </c>
      <c r="E36" s="4" t="str">
        <f t="shared" si="2"/>
        <v>Calle 9 N° 34-01</v>
      </c>
      <c r="F36" s="3" t="str">
        <f t="shared" si="3"/>
        <v xml:space="preserve">Atlántico </v>
      </c>
      <c r="G36" s="39" t="str">
        <f t="shared" si="4"/>
        <v xml:space="preserve">MORRAL </v>
      </c>
      <c r="H36" s="3">
        <f t="shared" si="5"/>
        <v>10</v>
      </c>
      <c r="I36" s="3">
        <f t="shared" si="6"/>
        <v>30</v>
      </c>
      <c r="J36" s="3">
        <f t="shared" si="7"/>
        <v>24000</v>
      </c>
      <c r="K36" s="6">
        <f t="shared" si="13"/>
        <v>240000</v>
      </c>
      <c r="L36" s="6">
        <f t="shared" si="8"/>
        <v>7200</v>
      </c>
      <c r="M36" s="46">
        <f t="shared" si="16"/>
        <v>232800</v>
      </c>
      <c r="N36" s="47">
        <f t="shared" si="9"/>
        <v>44232</v>
      </c>
      <c r="O36" s="6">
        <f t="shared" si="10"/>
        <v>8148.0000000000009</v>
      </c>
      <c r="P36" s="42">
        <f t="shared" si="14"/>
        <v>268884</v>
      </c>
      <c r="Q36" s="42" t="str">
        <f t="shared" si="11"/>
        <v>CONTADO</v>
      </c>
      <c r="R36" s="42" t="str">
        <f t="shared" si="15"/>
        <v>Mala Demanda</v>
      </c>
    </row>
    <row r="37" spans="1:18" hidden="1" x14ac:dyDescent="0.25">
      <c r="A37" s="15"/>
      <c r="I37" s="3" t="str">
        <f t="shared" si="6"/>
        <v/>
      </c>
      <c r="J37" s="14"/>
      <c r="K37" s="14"/>
      <c r="L37" s="6"/>
      <c r="M37" s="6"/>
      <c r="N37" s="47"/>
      <c r="O37" s="6"/>
      <c r="P37" s="7"/>
      <c r="Q37" s="7" t="str">
        <f t="shared" si="11"/>
        <v/>
      </c>
      <c r="R37" s="42"/>
    </row>
    <row r="38" spans="1:18" hidden="1" x14ac:dyDescent="0.25">
      <c r="I38" s="41" t="str">
        <f t="shared" si="6"/>
        <v/>
      </c>
      <c r="L38" s="52"/>
      <c r="M38" s="52"/>
      <c r="N38" s="53"/>
      <c r="O38" s="52"/>
      <c r="P38" s="43"/>
      <c r="Q38" s="43" t="str">
        <f t="shared" si="11"/>
        <v/>
      </c>
      <c r="R38" s="54"/>
    </row>
    <row r="39" spans="1:18" hidden="1" x14ac:dyDescent="0.25">
      <c r="I39" s="41" t="str">
        <f t="shared" si="6"/>
        <v/>
      </c>
      <c r="L39" s="52"/>
      <c r="M39" s="52"/>
      <c r="N39" s="53"/>
      <c r="O39" s="52"/>
      <c r="P39" s="43"/>
      <c r="Q39" s="43" t="str">
        <f t="shared" si="11"/>
        <v/>
      </c>
      <c r="R39" s="54"/>
    </row>
    <row r="40" spans="1:18" hidden="1" x14ac:dyDescent="0.25">
      <c r="I40" s="41" t="str">
        <f t="shared" si="6"/>
        <v/>
      </c>
      <c r="L40" s="52"/>
      <c r="M40" s="52"/>
      <c r="N40" s="53"/>
      <c r="O40" s="52"/>
      <c r="P40" s="43"/>
      <c r="Q40" s="43" t="str">
        <f t="shared" si="11"/>
        <v/>
      </c>
      <c r="R40" s="54"/>
    </row>
    <row r="41" spans="1:18" hidden="1" x14ac:dyDescent="0.25">
      <c r="I41" s="41" t="str">
        <f t="shared" si="6"/>
        <v/>
      </c>
      <c r="L41" s="52"/>
      <c r="M41" s="52"/>
      <c r="N41" s="53"/>
      <c r="O41" s="52"/>
      <c r="P41" s="43"/>
      <c r="Q41" s="43" t="str">
        <f t="shared" si="11"/>
        <v/>
      </c>
      <c r="R41" s="54"/>
    </row>
    <row r="42" spans="1:18" hidden="1" x14ac:dyDescent="0.25">
      <c r="I42" s="41" t="str">
        <f t="shared" si="6"/>
        <v/>
      </c>
      <c r="L42" s="52"/>
      <c r="M42" s="52"/>
      <c r="N42" s="53"/>
      <c r="O42" s="52"/>
      <c r="P42" s="43"/>
      <c r="Q42" s="43" t="str">
        <f t="shared" si="11"/>
        <v/>
      </c>
      <c r="R42" s="54"/>
    </row>
    <row r="43" spans="1:18" hidden="1" x14ac:dyDescent="0.25">
      <c r="I43" s="41" t="str">
        <f t="shared" si="6"/>
        <v/>
      </c>
      <c r="L43" s="52"/>
      <c r="M43" s="52"/>
      <c r="N43" s="53"/>
      <c r="O43" s="52"/>
      <c r="P43" s="43"/>
      <c r="Q43" s="43" t="str">
        <f t="shared" si="11"/>
        <v/>
      </c>
      <c r="R43" s="54"/>
    </row>
    <row r="44" spans="1:18" hidden="1" x14ac:dyDescent="0.25">
      <c r="C44" s="49"/>
      <c r="D44" s="20"/>
      <c r="E44" s="20"/>
      <c r="I44" s="41" t="str">
        <f t="shared" si="6"/>
        <v/>
      </c>
      <c r="L44" s="52"/>
      <c r="M44" s="52"/>
      <c r="N44" s="53"/>
      <c r="O44" s="52"/>
      <c r="P44" s="43"/>
      <c r="Q44" s="43" t="str">
        <f t="shared" si="11"/>
        <v/>
      </c>
      <c r="R44" s="54"/>
    </row>
    <row r="47" spans="1:18" x14ac:dyDescent="0.25">
      <c r="B47" s="3" t="str">
        <f>IF(ISBLANK(A37),"",IF(ISERROR(VLOOKUP(A37,bdpapeleria,2,FALSE)),"El dato no existe",VLOOKUP(A37,bdpapeleria,2,FALSE)))</f>
        <v/>
      </c>
      <c r="C47" s="85" t="s">
        <v>72</v>
      </c>
      <c r="D47" s="85"/>
      <c r="E47" s="85"/>
      <c r="F47" s="85"/>
      <c r="G47" s="85"/>
      <c r="H47" s="85"/>
    </row>
    <row r="48" spans="1:18" x14ac:dyDescent="0.25">
      <c r="B48" s="36" t="s">
        <v>73</v>
      </c>
      <c r="C48" s="40">
        <f>SUM(H7:H36)</f>
        <v>891</v>
      </c>
      <c r="D48" s="48"/>
      <c r="E48" s="45" t="s">
        <v>8</v>
      </c>
      <c r="F48" s="45">
        <v>0.03</v>
      </c>
      <c r="G48" s="44">
        <v>4.4999999999999998E-2</v>
      </c>
      <c r="H48" s="45">
        <v>0.05</v>
      </c>
    </row>
    <row r="49" spans="2:8" x14ac:dyDescent="0.25">
      <c r="B49" s="36" t="s">
        <v>74</v>
      </c>
      <c r="C49" s="55">
        <f>SUM(M7:M36)</f>
        <v>7957042.7000000002</v>
      </c>
      <c r="D49" s="20"/>
      <c r="E49" s="50" t="s">
        <v>10</v>
      </c>
      <c r="F49" s="45">
        <v>0.19</v>
      </c>
      <c r="G49" s="51"/>
      <c r="H49" s="51"/>
    </row>
    <row r="50" spans="2:8" x14ac:dyDescent="0.25">
      <c r="B50" s="36" t="s">
        <v>12</v>
      </c>
      <c r="C50" s="55">
        <f>SUM(P7:P36)</f>
        <v>9253155.7395000011</v>
      </c>
      <c r="D50" s="20"/>
      <c r="E50" s="50" t="s">
        <v>163</v>
      </c>
      <c r="F50" s="44">
        <v>3.5000000000000003E-2</v>
      </c>
      <c r="G50" s="51"/>
      <c r="H50" s="51"/>
    </row>
    <row r="51" spans="2:8" x14ac:dyDescent="0.25">
      <c r="B51" s="36" t="s">
        <v>75</v>
      </c>
      <c r="C51" s="55">
        <f>AVERAGE(P7:P36)</f>
        <v>308438.52465000004</v>
      </c>
      <c r="D51" s="20"/>
      <c r="E51" s="20"/>
    </row>
    <row r="52" spans="2:8" x14ac:dyDescent="0.25">
      <c r="B52" s="36" t="s">
        <v>76</v>
      </c>
      <c r="C52" s="55">
        <f>MAX(P7:P36)</f>
        <v>1380510.075</v>
      </c>
      <c r="D52" s="20"/>
      <c r="E52" s="20"/>
    </row>
    <row r="53" spans="2:8" x14ac:dyDescent="0.25">
      <c r="B53" s="36" t="s">
        <v>77</v>
      </c>
      <c r="C53" s="55">
        <f>MIN(P7:P36)</f>
        <v>20274.650000000001</v>
      </c>
      <c r="D53" s="20"/>
      <c r="E53" s="20"/>
    </row>
  </sheetData>
  <autoFilter ref="A6:R44">
    <filterColumn colId="5">
      <filters>
        <filter val="Antioquia"/>
        <filter val="Risaralda"/>
      </filters>
    </filterColumn>
  </autoFilter>
  <mergeCells count="3">
    <mergeCell ref="A2:P2"/>
    <mergeCell ref="A4:P4"/>
    <mergeCell ref="C47:H47"/>
  </mergeCells>
  <pageMargins left="0.7" right="0.7" top="0.75" bottom="0.75" header="0.3" footer="0.3"/>
  <pageSetup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9"/>
  <sheetViews>
    <sheetView topLeftCell="A7" workbookViewId="0">
      <selection activeCell="F9" sqref="F9"/>
    </sheetView>
  </sheetViews>
  <sheetFormatPr baseColWidth="10" defaultRowHeight="15" x14ac:dyDescent="0.25"/>
  <cols>
    <col min="2" max="2" width="27.140625" customWidth="1"/>
    <col min="3" max="5" width="30.42578125" customWidth="1"/>
    <col min="6" max="8" width="23.7109375" customWidth="1"/>
    <col min="9" max="9" width="30.5703125" customWidth="1"/>
    <col min="10" max="17" width="23.7109375" customWidth="1"/>
    <col min="18" max="18" width="24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  <c r="R2" s="37"/>
    </row>
    <row r="3" spans="1:18" ht="9.7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3.75" customHeight="1" x14ac:dyDescent="0.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</row>
    <row r="5" spans="1:18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18" x14ac:dyDescent="0.25">
      <c r="A7" s="2" t="s">
        <v>2</v>
      </c>
      <c r="B7" s="2" t="s">
        <v>88</v>
      </c>
      <c r="C7" s="2" t="s">
        <v>3</v>
      </c>
      <c r="D7" s="2" t="s">
        <v>90</v>
      </c>
      <c r="E7" s="2" t="s">
        <v>89</v>
      </c>
      <c r="F7" s="2" t="s">
        <v>22</v>
      </c>
      <c r="G7" s="2" t="s">
        <v>4</v>
      </c>
      <c r="H7" s="2" t="s">
        <v>5</v>
      </c>
      <c r="I7" s="2" t="s">
        <v>162</v>
      </c>
      <c r="J7" s="2" t="s">
        <v>6</v>
      </c>
      <c r="K7" s="2" t="s">
        <v>7</v>
      </c>
      <c r="L7" s="2" t="s">
        <v>8</v>
      </c>
      <c r="M7" s="2" t="s">
        <v>9</v>
      </c>
      <c r="N7" s="2" t="s">
        <v>10</v>
      </c>
      <c r="O7" s="2" t="s">
        <v>11</v>
      </c>
      <c r="P7" s="2" t="s">
        <v>12</v>
      </c>
      <c r="Q7" s="2" t="s">
        <v>91</v>
      </c>
      <c r="R7" s="2" t="s">
        <v>71</v>
      </c>
    </row>
    <row r="8" spans="1:18" s="78" customFormat="1" x14ac:dyDescent="0.25">
      <c r="A8" s="77"/>
      <c r="B8" s="77"/>
      <c r="C8" s="77"/>
      <c r="D8" s="77"/>
      <c r="E8" s="77"/>
      <c r="F8" s="3" t="s">
        <v>27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25">
      <c r="A9" s="77"/>
      <c r="B9" s="77"/>
      <c r="C9" s="77"/>
      <c r="D9" s="77"/>
      <c r="E9" s="77"/>
      <c r="F9" s="80" t="s">
        <v>26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x14ac:dyDescent="0.25">
      <c r="A10" s="76"/>
      <c r="B10" s="76"/>
      <c r="C10" s="76"/>
      <c r="D10" s="76"/>
      <c r="E10" s="76"/>
      <c r="F10" s="79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1:18" x14ac:dyDescent="0.25">
      <c r="A11" s="76"/>
      <c r="B11" s="76"/>
      <c r="C11" s="76"/>
      <c r="D11" s="76"/>
      <c r="E11" s="76"/>
      <c r="F11" s="79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spans="1:18" x14ac:dyDescent="0.25">
      <c r="A12" s="2" t="s">
        <v>2</v>
      </c>
      <c r="B12" s="2" t="s">
        <v>88</v>
      </c>
      <c r="C12" s="2" t="s">
        <v>3</v>
      </c>
      <c r="D12" s="2" t="s">
        <v>90</v>
      </c>
      <c r="E12" s="2" t="s">
        <v>89</v>
      </c>
      <c r="F12" s="2" t="s">
        <v>22</v>
      </c>
      <c r="G12" s="2" t="s">
        <v>4</v>
      </c>
      <c r="H12" s="2" t="s">
        <v>5</v>
      </c>
      <c r="I12" s="2" t="s">
        <v>162</v>
      </c>
      <c r="J12" s="2" t="s">
        <v>6</v>
      </c>
      <c r="K12" s="2" t="s">
        <v>7</v>
      </c>
      <c r="L12" s="2" t="s">
        <v>8</v>
      </c>
      <c r="M12" s="2" t="s">
        <v>9</v>
      </c>
      <c r="N12" s="2" t="s">
        <v>10</v>
      </c>
      <c r="O12" s="2" t="s">
        <v>11</v>
      </c>
      <c r="P12" s="2" t="s">
        <v>12</v>
      </c>
      <c r="Q12" s="2" t="s">
        <v>91</v>
      </c>
      <c r="R12" s="2" t="s">
        <v>71</v>
      </c>
    </row>
    <row r="13" spans="1:18" ht="39" hidden="1" customHeight="1" x14ac:dyDescent="0.25">
      <c r="A13" s="3">
        <v>701</v>
      </c>
      <c r="B13" s="3" t="str">
        <f t="shared" ref="B13:B42" si="0">IF(ISBLANK(A13),"",IF(ISERROR(VLOOKUP(A13,bdpapeleria,2,FALSE)),"El dato no existe",VLOOKUP(A13,bdpapeleria,2,FALSE)))</f>
        <v>890980134-1</v>
      </c>
      <c r="C13" s="39" t="str">
        <f>IF(ISBLANK(A13),"",IF(ISERROR(VLOOKUP(A13,bdpapeleria,3,FALSE)),"El dato no existe",VLOOKUP(A13,bdpapeleria,3,FALSE)))</f>
        <v>COLEGIO MAYOR DE ANTIOQUIA</v>
      </c>
      <c r="D13" s="40">
        <f t="shared" ref="D13:D42" si="1">IF(ISBLANK(A13),"",IF(ISERROR(VLOOKUP(A13,bdpapeleria,4,FALSE)),"El dato no existe",VLOOKUP(A13,bdpapeleria,4,FALSE)))</f>
        <v>4445611</v>
      </c>
      <c r="E13" s="3" t="str">
        <f t="shared" ref="E13:E42" si="2">IF(ISBLANK(A13),"",IF(ISERROR(VLOOKUP(A13,bdpapeleria,5,FALSE)),"El dato no existe",VLOOKUP(A13,bdpapeleria,5,FALSE)))</f>
        <v>Carrera 78 N° 65-46</v>
      </c>
      <c r="F13" s="3" t="str">
        <f t="shared" ref="F13:F42" si="3">IF(ISBLANK(A13),"",IF(ISERROR(VLOOKUP(A13,bdpapeleria,6,FALSE)),"El dato no existe",VLOOKUP(A13,bdpapeleria,6,FALSE)))</f>
        <v>Antioquia</v>
      </c>
      <c r="G13" s="39" t="str">
        <f t="shared" ref="G13:G42" si="4">IF(ISBLANK(A13),"",IF(ISERROR(VLOOKUP(A13,bdpapeleria,7,FALSE)),"El dato no existe",VLOOKUP(A13,bdpapeleria,7,FALSE)))</f>
        <v xml:space="preserve">CAJA DE RESMAS TAMAÑO OFICIO </v>
      </c>
      <c r="H13" s="3">
        <f t="shared" ref="H13:H42" si="5">IF(ISBLANK(A13),"",IF(ISERROR(VLOOKUP(A13,bdpapeleria,8,FALSE)),"El dato no existe",VLOOKUP(A13,bdpapeleria,8,FALSE)))</f>
        <v>35</v>
      </c>
      <c r="I13" s="3">
        <f t="shared" ref="I13:I50" si="6">IF(ISBLANK(A13),"",IF(ISERROR(VLOOKUP(A13,bdpapeleria,9,FALSE)),"El dato no existe",VLOOKUP(A13,bdpapeleria,9,FALSE)))</f>
        <v>8</v>
      </c>
      <c r="J13" s="3">
        <f t="shared" ref="J13:J42" si="7">IF(ISBLANK(A13),"",IF(ISERROR(VLOOKUP(A13,bdpapeleria,10,FALSE)),"El dato no existe",VLOOKUP(A13,bdpapeleria,10,FALSE)))</f>
        <v>34890</v>
      </c>
      <c r="K13" s="6">
        <f>J13*H13</f>
        <v>1221150</v>
      </c>
      <c r="L13" s="6">
        <f t="shared" ref="L13:L42" si="8">IF(AND(H13&gt;=10,H13&lt;=20),K13*$F$54,IF(AND(H13&gt;=21,H13&lt;=30),K13*$G$54,K13*$H$54))</f>
        <v>61057.5</v>
      </c>
      <c r="M13" s="46">
        <f>K13-L13</f>
        <v>1160092.5</v>
      </c>
      <c r="N13" s="47">
        <f t="shared" ref="N13:N42" si="9">IF(M13&gt;=90000,M13*$F$55,M13*0%)</f>
        <v>220417.57500000001</v>
      </c>
      <c r="O13" s="6">
        <f t="shared" ref="O13:O42" si="10">IF(M13&lt;=400000,M13*$F$56,M13*0%)</f>
        <v>0</v>
      </c>
      <c r="P13" s="42">
        <f>M13+N13-O13</f>
        <v>1380510.075</v>
      </c>
      <c r="Q13" s="42" t="str">
        <f t="shared" ref="Q13:Q50" si="11">IF(ISBLANK(A13),"",IF(ISERROR(VLOOKUP(A13,bdpapeleria,11,FALSE)),"El dato no existe",VLOOKUP(A13,bdpapeleria,11,FALSE)))</f>
        <v>CONTADO</v>
      </c>
      <c r="R13" s="42" t="str">
        <f>IF(I13&gt;=15,"Mala Demanda","Buena Demanda")</f>
        <v>Buena Demanda</v>
      </c>
    </row>
    <row r="14" spans="1:18" ht="40.5" hidden="1" customHeight="1" x14ac:dyDescent="0.25">
      <c r="A14" s="3">
        <v>702</v>
      </c>
      <c r="B14" s="3" t="str">
        <f t="shared" si="0"/>
        <v>890480054-5</v>
      </c>
      <c r="C14" s="39" t="str">
        <f t="shared" ref="C14:C42" si="12">IF(ISBLANK(A14),"",IF(ISERROR(VLOOKUP(A14,bdpapeleria,3,FALSE)),"El dato no existe",VLOOKUP(A14,bdpapeleria,3,FALSE)))</f>
        <v xml:space="preserve">CORPORACION CENTRO TÉCNICO ARQUITETÓNICO </v>
      </c>
      <c r="D14" s="4">
        <f t="shared" si="1"/>
        <v>3293333</v>
      </c>
      <c r="E14" s="4" t="str">
        <f t="shared" si="2"/>
        <v>Avda 30 de Agosto N° 52-236</v>
      </c>
      <c r="F14" s="3" t="str">
        <f t="shared" si="3"/>
        <v>Risaralda</v>
      </c>
      <c r="G14" s="39" t="str">
        <f t="shared" si="4"/>
        <v xml:space="preserve">CAJA DE RESMAS TAMAÑO CARTA X 15 </v>
      </c>
      <c r="H14" s="3">
        <f t="shared" si="5"/>
        <v>20</v>
      </c>
      <c r="I14" s="3">
        <f t="shared" si="6"/>
        <v>15</v>
      </c>
      <c r="J14" s="3">
        <f t="shared" si="7"/>
        <v>25678</v>
      </c>
      <c r="K14" s="6">
        <f t="shared" ref="K14:K42" si="13">J14*H14</f>
        <v>513560</v>
      </c>
      <c r="L14" s="6">
        <f t="shared" si="8"/>
        <v>15406.8</v>
      </c>
      <c r="M14" s="46">
        <f>K14-L14</f>
        <v>498153.2</v>
      </c>
      <c r="N14" s="47">
        <f t="shared" si="9"/>
        <v>94649.108000000007</v>
      </c>
      <c r="O14" s="6">
        <f t="shared" si="10"/>
        <v>0</v>
      </c>
      <c r="P14" s="42">
        <f t="shared" ref="P14:P42" si="14">M14+N14-O14</f>
        <v>592802.30799999996</v>
      </c>
      <c r="Q14" s="42" t="str">
        <f t="shared" si="11"/>
        <v>CONTADO</v>
      </c>
      <c r="R14" s="42" t="str">
        <f t="shared" ref="R14:R42" si="15">IF(I14&gt;=15,"Mala Demanda","Buena Demanda")</f>
        <v>Mala Demanda</v>
      </c>
    </row>
    <row r="15" spans="1:18" ht="34.5" hidden="1" customHeight="1" x14ac:dyDescent="0.25">
      <c r="A15" s="3">
        <v>703</v>
      </c>
      <c r="B15" s="3" t="str">
        <f t="shared" si="0"/>
        <v>891411199-3</v>
      </c>
      <c r="C15" s="39" t="str">
        <f t="shared" si="12"/>
        <v>CORPORACIÓN EDUCATIVA -ITAE-</v>
      </c>
      <c r="D15" s="4">
        <f t="shared" si="1"/>
        <v>6642484</v>
      </c>
      <c r="E15" s="4" t="str">
        <f t="shared" si="2"/>
        <v>Centro Carrera 3 Calle de la factoria N°35-95</v>
      </c>
      <c r="F15" s="3" t="str">
        <f t="shared" si="3"/>
        <v>Bolivar</v>
      </c>
      <c r="G15" s="39" t="str">
        <f t="shared" si="4"/>
        <v xml:space="preserve">TALONARIO DE CAJA MENOR </v>
      </c>
      <c r="H15" s="3">
        <f t="shared" si="5"/>
        <v>40</v>
      </c>
      <c r="I15" s="3">
        <f t="shared" si="6"/>
        <v>10</v>
      </c>
      <c r="J15" s="3">
        <f t="shared" si="7"/>
        <v>900</v>
      </c>
      <c r="K15" s="6">
        <f t="shared" si="13"/>
        <v>36000</v>
      </c>
      <c r="L15" s="6">
        <f t="shared" si="8"/>
        <v>1800</v>
      </c>
      <c r="M15" s="46">
        <f t="shared" ref="M15:M42" si="16">K15-L15</f>
        <v>34200</v>
      </c>
      <c r="N15" s="47">
        <f t="shared" si="9"/>
        <v>0</v>
      </c>
      <c r="O15" s="6">
        <f t="shared" si="10"/>
        <v>1197.0000000000002</v>
      </c>
      <c r="P15" s="42">
        <f t="shared" si="14"/>
        <v>33003</v>
      </c>
      <c r="Q15" s="42" t="str">
        <f t="shared" si="11"/>
        <v>CRÉDITO</v>
      </c>
      <c r="R15" s="42" t="str">
        <f t="shared" si="15"/>
        <v>Buena Demanda</v>
      </c>
    </row>
    <row r="16" spans="1:18" ht="34.5" customHeight="1" x14ac:dyDescent="0.25">
      <c r="A16" s="3">
        <v>704</v>
      </c>
      <c r="B16" s="3" t="str">
        <f t="shared" si="0"/>
        <v>8900704562-9</v>
      </c>
      <c r="C16" s="39" t="str">
        <f t="shared" si="12"/>
        <v>CORPORACIÓN ESCUELA DE ARTES Y LETRAS</v>
      </c>
      <c r="D16" s="4">
        <f t="shared" si="1"/>
        <v>2134421</v>
      </c>
      <c r="E16" s="4" t="str">
        <f t="shared" si="2"/>
        <v xml:space="preserve">Calle 10 N° 29-93 </v>
      </c>
      <c r="F16" s="3" t="str">
        <f t="shared" si="3"/>
        <v>Tolima</v>
      </c>
      <c r="G16" s="39" t="str">
        <f t="shared" si="4"/>
        <v>CUADERNO ARGOLLADO</v>
      </c>
      <c r="H16" s="3">
        <f t="shared" si="5"/>
        <v>22</v>
      </c>
      <c r="I16" s="3">
        <f t="shared" si="6"/>
        <v>8</v>
      </c>
      <c r="J16" s="3">
        <f t="shared" si="7"/>
        <v>10900</v>
      </c>
      <c r="K16" s="6">
        <f t="shared" si="13"/>
        <v>239800</v>
      </c>
      <c r="L16" s="6">
        <f t="shared" si="8"/>
        <v>10791</v>
      </c>
      <c r="M16" s="46">
        <f t="shared" si="16"/>
        <v>229009</v>
      </c>
      <c r="N16" s="47">
        <f t="shared" si="9"/>
        <v>43511.71</v>
      </c>
      <c r="O16" s="6">
        <f t="shared" si="10"/>
        <v>8015.3150000000005</v>
      </c>
      <c r="P16" s="42">
        <f t="shared" si="14"/>
        <v>264505.39500000002</v>
      </c>
      <c r="Q16" s="42" t="str">
        <f t="shared" si="11"/>
        <v>CRÉDITO</v>
      </c>
      <c r="R16" s="42" t="str">
        <f t="shared" si="15"/>
        <v>Buena Demanda</v>
      </c>
    </row>
    <row r="17" spans="1:18" ht="34.5" hidden="1" customHeight="1" x14ac:dyDescent="0.25">
      <c r="A17" s="3">
        <v>705</v>
      </c>
      <c r="B17" s="3" t="str">
        <f t="shared" si="0"/>
        <v>890203706-2</v>
      </c>
      <c r="C17" s="39" t="str">
        <f t="shared" si="12"/>
        <v>UNIVERSIDAD CATÓLICA LUIS AMIGÓ</v>
      </c>
      <c r="D17" s="4">
        <f t="shared" si="1"/>
        <v>6525202</v>
      </c>
      <c r="E17" s="4" t="str">
        <f t="shared" si="2"/>
        <v>Calle 10 N° 3-95</v>
      </c>
      <c r="F17" s="3" t="str">
        <f t="shared" si="3"/>
        <v>Antioquia</v>
      </c>
      <c r="G17" s="39" t="str">
        <f t="shared" si="4"/>
        <v>CARPETAS PARA ARCHIVO TAMAÑO OFICIO</v>
      </c>
      <c r="H17" s="3">
        <f t="shared" si="5"/>
        <v>43</v>
      </c>
      <c r="I17" s="3">
        <f t="shared" si="6"/>
        <v>30</v>
      </c>
      <c r="J17" s="3">
        <f t="shared" si="7"/>
        <v>7100</v>
      </c>
      <c r="K17" s="6">
        <f t="shared" si="13"/>
        <v>305300</v>
      </c>
      <c r="L17" s="6">
        <f t="shared" si="8"/>
        <v>15265</v>
      </c>
      <c r="M17" s="46">
        <f t="shared" si="16"/>
        <v>290035</v>
      </c>
      <c r="N17" s="47">
        <f t="shared" si="9"/>
        <v>55106.65</v>
      </c>
      <c r="O17" s="6">
        <f t="shared" si="10"/>
        <v>10151.225</v>
      </c>
      <c r="P17" s="42">
        <f t="shared" si="14"/>
        <v>334990.42500000005</v>
      </c>
      <c r="Q17" s="42" t="str">
        <f t="shared" si="11"/>
        <v>CRÉDITO</v>
      </c>
      <c r="R17" s="42" t="str">
        <f t="shared" si="15"/>
        <v>Mala Demanda</v>
      </c>
    </row>
    <row r="18" spans="1:18" ht="34.5" customHeight="1" x14ac:dyDescent="0.25">
      <c r="A18" s="3">
        <v>706</v>
      </c>
      <c r="B18" s="3" t="str">
        <f t="shared" si="0"/>
        <v>891408248-5</v>
      </c>
      <c r="C18" s="39" t="str">
        <f t="shared" si="12"/>
        <v>CORPORACIÓN JOHN F.KENNEDY</v>
      </c>
      <c r="D18" s="4">
        <f t="shared" si="1"/>
        <v>6505400</v>
      </c>
      <c r="E18" s="4" t="str">
        <f t="shared" si="2"/>
        <v>Calle 74 N° 11-92</v>
      </c>
      <c r="F18" s="3" t="str">
        <f t="shared" si="3"/>
        <v>Cundinamarca</v>
      </c>
      <c r="G18" s="39" t="str">
        <f t="shared" si="4"/>
        <v>CAJA DE COLORES NORMA</v>
      </c>
      <c r="H18" s="3">
        <f t="shared" si="5"/>
        <v>12</v>
      </c>
      <c r="I18" s="3">
        <f t="shared" si="6"/>
        <v>5</v>
      </c>
      <c r="J18" s="3">
        <f t="shared" si="7"/>
        <v>9500</v>
      </c>
      <c r="K18" s="6">
        <f t="shared" si="13"/>
        <v>114000</v>
      </c>
      <c r="L18" s="6">
        <f t="shared" si="8"/>
        <v>3420</v>
      </c>
      <c r="M18" s="46">
        <f t="shared" si="16"/>
        <v>110580</v>
      </c>
      <c r="N18" s="47">
        <f t="shared" si="9"/>
        <v>21010.2</v>
      </c>
      <c r="O18" s="6">
        <f t="shared" si="10"/>
        <v>3870.3</v>
      </c>
      <c r="P18" s="42">
        <f t="shared" si="14"/>
        <v>127719.90000000001</v>
      </c>
      <c r="Q18" s="42" t="str">
        <f t="shared" si="11"/>
        <v>CONTADO</v>
      </c>
      <c r="R18" s="42" t="str">
        <f t="shared" si="15"/>
        <v>Buena Demanda</v>
      </c>
    </row>
    <row r="19" spans="1:18" ht="34.5" hidden="1" customHeight="1" x14ac:dyDescent="0.25">
      <c r="A19" s="3">
        <v>707</v>
      </c>
      <c r="B19" s="3" t="str">
        <f t="shared" si="0"/>
        <v>860066098-5</v>
      </c>
      <c r="C19" s="39" t="str">
        <f t="shared" si="12"/>
        <v>CORPORACIÓN UNVIERSITARIA CENDA</v>
      </c>
      <c r="D19" s="4">
        <f t="shared" si="1"/>
        <v>3400100</v>
      </c>
      <c r="E19" s="4" t="str">
        <f t="shared" si="2"/>
        <v>Carrera 14 N° 12-42</v>
      </c>
      <c r="F19" s="3" t="str">
        <f t="shared" si="3"/>
        <v>Risaralda</v>
      </c>
      <c r="G19" s="39" t="str">
        <f t="shared" si="4"/>
        <v>VINILOS PRISMACOLOR</v>
      </c>
      <c r="H19" s="3">
        <f t="shared" si="5"/>
        <v>25</v>
      </c>
      <c r="I19" s="3">
        <f t="shared" si="6"/>
        <v>3</v>
      </c>
      <c r="J19" s="3">
        <f t="shared" si="7"/>
        <v>1000</v>
      </c>
      <c r="K19" s="6">
        <f t="shared" si="13"/>
        <v>25000</v>
      </c>
      <c r="L19" s="6">
        <f t="shared" si="8"/>
        <v>1125</v>
      </c>
      <c r="M19" s="46">
        <f t="shared" si="16"/>
        <v>23875</v>
      </c>
      <c r="N19" s="47">
        <f t="shared" si="9"/>
        <v>0</v>
      </c>
      <c r="O19" s="6">
        <f t="shared" si="10"/>
        <v>835.62500000000011</v>
      </c>
      <c r="P19" s="42">
        <f t="shared" si="14"/>
        <v>23039.375</v>
      </c>
      <c r="Q19" s="42" t="str">
        <f t="shared" si="11"/>
        <v>CONTADO</v>
      </c>
      <c r="R19" s="42" t="str">
        <f t="shared" si="15"/>
        <v>Buena Demanda</v>
      </c>
    </row>
    <row r="20" spans="1:18" ht="34.5" hidden="1" customHeight="1" x14ac:dyDescent="0.25">
      <c r="A20" s="3">
        <v>708</v>
      </c>
      <c r="B20" s="3" t="str">
        <f t="shared" si="0"/>
        <v>860504543-1</v>
      </c>
      <c r="C20" s="39" t="str">
        <f t="shared" si="12"/>
        <v>CORPORACIÓN UNIVERSITARIA MARÍA</v>
      </c>
      <c r="D20" s="4">
        <f t="shared" si="1"/>
        <v>5446573</v>
      </c>
      <c r="E20" s="4" t="str">
        <f t="shared" si="2"/>
        <v>Carrera 23 N° 63-36</v>
      </c>
      <c r="F20" s="3" t="str">
        <f t="shared" si="3"/>
        <v>Risaralda</v>
      </c>
      <c r="G20" s="39" t="str">
        <f t="shared" si="4"/>
        <v>LIBRO CONTABLE</v>
      </c>
      <c r="H20" s="3">
        <f t="shared" si="5"/>
        <v>15</v>
      </c>
      <c r="I20" s="3">
        <f t="shared" si="6"/>
        <v>30</v>
      </c>
      <c r="J20" s="3">
        <f t="shared" si="7"/>
        <v>4500</v>
      </c>
      <c r="K20" s="6">
        <f t="shared" si="13"/>
        <v>67500</v>
      </c>
      <c r="L20" s="6">
        <f t="shared" si="8"/>
        <v>2025</v>
      </c>
      <c r="M20" s="46">
        <f t="shared" si="16"/>
        <v>65475</v>
      </c>
      <c r="N20" s="47">
        <f t="shared" si="9"/>
        <v>0</v>
      </c>
      <c r="O20" s="6">
        <f t="shared" si="10"/>
        <v>2291.625</v>
      </c>
      <c r="P20" s="42">
        <f t="shared" si="14"/>
        <v>63183.375</v>
      </c>
      <c r="Q20" s="42" t="str">
        <f t="shared" si="11"/>
        <v>CONTADO</v>
      </c>
      <c r="R20" s="42" t="str">
        <f t="shared" si="15"/>
        <v>Mala Demanda</v>
      </c>
    </row>
    <row r="21" spans="1:18" ht="34.5" hidden="1" customHeight="1" x14ac:dyDescent="0.25">
      <c r="A21" s="3">
        <v>709</v>
      </c>
      <c r="B21" s="3" t="str">
        <f t="shared" si="0"/>
        <v>8605008517-8</v>
      </c>
      <c r="C21" s="39" t="str">
        <f t="shared" si="12"/>
        <v>UNIVERSIDAD ECCI</v>
      </c>
      <c r="D21" s="4">
        <f t="shared" si="1"/>
        <v>3689618</v>
      </c>
      <c r="E21" s="4" t="str">
        <f t="shared" si="2"/>
        <v>Calle 41 N° 27A-56</v>
      </c>
      <c r="F21" s="3" t="str">
        <f t="shared" si="3"/>
        <v>Bolivar</v>
      </c>
      <c r="G21" s="39" t="str">
        <f t="shared" si="4"/>
        <v>CAJA DE COLORES NORMA</v>
      </c>
      <c r="H21" s="3">
        <f t="shared" si="5"/>
        <v>28</v>
      </c>
      <c r="I21" s="3">
        <f t="shared" si="6"/>
        <v>8</v>
      </c>
      <c r="J21" s="3">
        <f t="shared" si="7"/>
        <v>9500</v>
      </c>
      <c r="K21" s="6">
        <f t="shared" si="13"/>
        <v>266000</v>
      </c>
      <c r="L21" s="6">
        <f t="shared" si="8"/>
        <v>11970</v>
      </c>
      <c r="M21" s="46">
        <f t="shared" si="16"/>
        <v>254030</v>
      </c>
      <c r="N21" s="47">
        <f t="shared" si="9"/>
        <v>48265.7</v>
      </c>
      <c r="O21" s="6">
        <f t="shared" si="10"/>
        <v>8891.0500000000011</v>
      </c>
      <c r="P21" s="42">
        <f t="shared" si="14"/>
        <v>293404.65000000002</v>
      </c>
      <c r="Q21" s="42" t="str">
        <f t="shared" si="11"/>
        <v>CRÉDITO</v>
      </c>
      <c r="R21" s="42" t="str">
        <f t="shared" si="15"/>
        <v>Buena Demanda</v>
      </c>
    </row>
    <row r="22" spans="1:18" ht="34.5" hidden="1" customHeight="1" x14ac:dyDescent="0.25">
      <c r="A22" s="3">
        <v>710</v>
      </c>
      <c r="B22" s="3" t="str">
        <f t="shared" si="0"/>
        <v>890985856-3</v>
      </c>
      <c r="C22" s="39" t="str">
        <f t="shared" si="12"/>
        <v>ESCUELA COLOMBIANA DE  INGENIERIA</v>
      </c>
      <c r="D22" s="4">
        <f t="shared" si="1"/>
        <v>2451333</v>
      </c>
      <c r="E22" s="4" t="str">
        <f t="shared" si="2"/>
        <v>Calle 46 N° 13-43</v>
      </c>
      <c r="F22" s="3" t="str">
        <f t="shared" si="3"/>
        <v>Valle del Cauca</v>
      </c>
      <c r="G22" s="39" t="str">
        <f t="shared" si="4"/>
        <v xml:space="preserve">CAJA DE RESMAS TAMAÑO OFICIO </v>
      </c>
      <c r="H22" s="3">
        <f t="shared" si="5"/>
        <v>35</v>
      </c>
      <c r="I22" s="3">
        <f t="shared" si="6"/>
        <v>6</v>
      </c>
      <c r="J22" s="3">
        <f t="shared" si="7"/>
        <v>34890</v>
      </c>
      <c r="K22" s="6">
        <f t="shared" si="13"/>
        <v>1221150</v>
      </c>
      <c r="L22" s="6">
        <f t="shared" si="8"/>
        <v>61057.5</v>
      </c>
      <c r="M22" s="46">
        <f t="shared" si="16"/>
        <v>1160092.5</v>
      </c>
      <c r="N22" s="47">
        <f t="shared" si="9"/>
        <v>220417.57500000001</v>
      </c>
      <c r="O22" s="6">
        <f t="shared" si="10"/>
        <v>0</v>
      </c>
      <c r="P22" s="42">
        <f t="shared" si="14"/>
        <v>1380510.075</v>
      </c>
      <c r="Q22" s="42" t="str">
        <f t="shared" si="11"/>
        <v>CRÉDITO</v>
      </c>
      <c r="R22" s="42" t="str">
        <f t="shared" si="15"/>
        <v>Buena Demanda</v>
      </c>
    </row>
    <row r="23" spans="1:18" ht="34.5" hidden="1" customHeight="1" x14ac:dyDescent="0.25">
      <c r="A23" s="3">
        <v>711</v>
      </c>
      <c r="B23" s="3" t="str">
        <f t="shared" si="0"/>
        <v>800003863-5</v>
      </c>
      <c r="C23" s="39" t="str">
        <f t="shared" si="12"/>
        <v>ESCUELA NACIONAL DE DEPORTE</v>
      </c>
      <c r="D23" s="4">
        <f t="shared" si="1"/>
        <v>2826786</v>
      </c>
      <c r="E23" s="4" t="str">
        <f t="shared" si="2"/>
        <v>Calle 19 N° 3-16</v>
      </c>
      <c r="F23" s="3" t="str">
        <f t="shared" si="3"/>
        <v>Santander</v>
      </c>
      <c r="G23" s="39" t="str">
        <f t="shared" si="4"/>
        <v>LIBRO CONTABLE</v>
      </c>
      <c r="H23" s="3">
        <f t="shared" si="5"/>
        <v>45</v>
      </c>
      <c r="I23" s="3">
        <f t="shared" si="6"/>
        <v>30</v>
      </c>
      <c r="J23" s="3">
        <f t="shared" si="7"/>
        <v>4500</v>
      </c>
      <c r="K23" s="6">
        <f t="shared" si="13"/>
        <v>202500</v>
      </c>
      <c r="L23" s="6">
        <f t="shared" si="8"/>
        <v>10125</v>
      </c>
      <c r="M23" s="46">
        <f t="shared" si="16"/>
        <v>192375</v>
      </c>
      <c r="N23" s="47">
        <f t="shared" si="9"/>
        <v>36551.25</v>
      </c>
      <c r="O23" s="6">
        <f t="shared" si="10"/>
        <v>6733.1250000000009</v>
      </c>
      <c r="P23" s="42">
        <f t="shared" si="14"/>
        <v>222193.125</v>
      </c>
      <c r="Q23" s="42" t="str">
        <f t="shared" si="11"/>
        <v>CONTADO</v>
      </c>
      <c r="R23" s="42" t="str">
        <f t="shared" si="15"/>
        <v>Mala Demanda</v>
      </c>
    </row>
    <row r="24" spans="1:18" ht="34.5" hidden="1" customHeight="1" x14ac:dyDescent="0.25">
      <c r="A24" s="3">
        <v>712</v>
      </c>
      <c r="B24" s="3" t="str">
        <f t="shared" si="0"/>
        <v>860401734-9</v>
      </c>
      <c r="C24" s="39" t="str">
        <f t="shared" si="12"/>
        <v>UNIVERSIDAD NACIONAL</v>
      </c>
      <c r="D24" s="4">
        <f t="shared" si="1"/>
        <v>4500040</v>
      </c>
      <c r="E24" s="4" t="str">
        <f t="shared" si="2"/>
        <v>Calle 48 N° 50-30</v>
      </c>
      <c r="F24" s="3" t="str">
        <f t="shared" si="3"/>
        <v>Antioquia</v>
      </c>
      <c r="G24" s="39" t="str">
        <f t="shared" si="4"/>
        <v>ROLLOS PARA IMPRESORA DE CAJA X 6 U.</v>
      </c>
      <c r="H24" s="3">
        <f t="shared" si="5"/>
        <v>42</v>
      </c>
      <c r="I24" s="3">
        <f t="shared" si="6"/>
        <v>4</v>
      </c>
      <c r="J24" s="3">
        <f t="shared" si="7"/>
        <v>7654</v>
      </c>
      <c r="K24" s="6">
        <f t="shared" si="13"/>
        <v>321468</v>
      </c>
      <c r="L24" s="6">
        <f t="shared" si="8"/>
        <v>16073.400000000001</v>
      </c>
      <c r="M24" s="46">
        <f t="shared" si="16"/>
        <v>305394.59999999998</v>
      </c>
      <c r="N24" s="47">
        <f t="shared" si="9"/>
        <v>58024.973999999995</v>
      </c>
      <c r="O24" s="6">
        <f t="shared" si="10"/>
        <v>10688.811</v>
      </c>
      <c r="P24" s="42">
        <f t="shared" si="14"/>
        <v>352730.76299999998</v>
      </c>
      <c r="Q24" s="42" t="str">
        <f t="shared" si="11"/>
        <v>CONTADO</v>
      </c>
      <c r="R24" s="42" t="str">
        <f t="shared" si="15"/>
        <v>Buena Demanda</v>
      </c>
    </row>
    <row r="25" spans="1:18" ht="46.5" hidden="1" customHeight="1" x14ac:dyDescent="0.25">
      <c r="A25" s="3">
        <v>713</v>
      </c>
      <c r="B25" s="3" t="str">
        <f t="shared" si="0"/>
        <v>864366098-5</v>
      </c>
      <c r="C25" s="39" t="str">
        <f t="shared" si="12"/>
        <v xml:space="preserve">FUNDACIÓN UNIVERSITARIA AUTONOMA </v>
      </c>
      <c r="D25" s="4">
        <f t="shared" si="1"/>
        <v>3078180</v>
      </c>
      <c r="E25" s="4" t="str">
        <f t="shared" si="2"/>
        <v>Calle 34 N° 15-36</v>
      </c>
      <c r="F25" s="3" t="str">
        <f t="shared" si="3"/>
        <v>Risaralda</v>
      </c>
      <c r="G25" s="39" t="str">
        <f t="shared" si="4"/>
        <v>ROLLOS PARA IMPRESORA DE CAJA X 6 U.</v>
      </c>
      <c r="H25" s="3">
        <f t="shared" si="5"/>
        <v>20</v>
      </c>
      <c r="I25" s="3">
        <f t="shared" si="6"/>
        <v>4</v>
      </c>
      <c r="J25" s="3">
        <f t="shared" si="7"/>
        <v>7654</v>
      </c>
      <c r="K25" s="6">
        <f t="shared" si="13"/>
        <v>153080</v>
      </c>
      <c r="L25" s="6">
        <f t="shared" si="8"/>
        <v>4592.3999999999996</v>
      </c>
      <c r="M25" s="46">
        <f t="shared" si="16"/>
        <v>148487.6</v>
      </c>
      <c r="N25" s="47">
        <f t="shared" si="9"/>
        <v>28212.644</v>
      </c>
      <c r="O25" s="6">
        <f t="shared" si="10"/>
        <v>5197.0660000000007</v>
      </c>
      <c r="P25" s="42">
        <f t="shared" si="14"/>
        <v>171503.17800000001</v>
      </c>
      <c r="Q25" s="42" t="str">
        <f t="shared" si="11"/>
        <v>CRÉDITO</v>
      </c>
      <c r="R25" s="42" t="str">
        <f t="shared" si="15"/>
        <v>Buena Demanda</v>
      </c>
    </row>
    <row r="26" spans="1:18" ht="34.5" hidden="1" customHeight="1" x14ac:dyDescent="0.25">
      <c r="A26" s="3">
        <v>714</v>
      </c>
      <c r="B26" s="3" t="str">
        <f t="shared" si="0"/>
        <v>862504543-1</v>
      </c>
      <c r="C26" s="39" t="str">
        <f t="shared" si="12"/>
        <v>CORPORACION ARTES Y OFICIOS</v>
      </c>
      <c r="D26" s="4">
        <f t="shared" si="1"/>
        <v>2321617</v>
      </c>
      <c r="E26" s="4" t="str">
        <f t="shared" si="2"/>
        <v>Calle 33 N° 11-50</v>
      </c>
      <c r="F26" s="3" t="str">
        <f t="shared" si="3"/>
        <v>Nariño</v>
      </c>
      <c r="G26" s="39" t="str">
        <f t="shared" si="4"/>
        <v>BLOCK TAMAÑO CARTA</v>
      </c>
      <c r="H26" s="3">
        <f t="shared" si="5"/>
        <v>29</v>
      </c>
      <c r="I26" s="3">
        <f t="shared" si="6"/>
        <v>2</v>
      </c>
      <c r="J26" s="3">
        <f t="shared" si="7"/>
        <v>2400</v>
      </c>
      <c r="K26" s="6">
        <f t="shared" si="13"/>
        <v>69600</v>
      </c>
      <c r="L26" s="6">
        <f t="shared" si="8"/>
        <v>3132</v>
      </c>
      <c r="M26" s="46">
        <f t="shared" si="16"/>
        <v>66468</v>
      </c>
      <c r="N26" s="47">
        <f t="shared" si="9"/>
        <v>0</v>
      </c>
      <c r="O26" s="6">
        <f t="shared" si="10"/>
        <v>2326.38</v>
      </c>
      <c r="P26" s="42">
        <f t="shared" si="14"/>
        <v>64141.62</v>
      </c>
      <c r="Q26" s="42" t="str">
        <f t="shared" si="11"/>
        <v>CONTADO</v>
      </c>
      <c r="R26" s="42" t="str">
        <f t="shared" si="15"/>
        <v>Buena Demanda</v>
      </c>
    </row>
    <row r="27" spans="1:18" ht="34.5" hidden="1" customHeight="1" x14ac:dyDescent="0.25">
      <c r="A27" s="3">
        <v>715</v>
      </c>
      <c r="B27" s="3" t="str">
        <f t="shared" si="0"/>
        <v>8607108517-8</v>
      </c>
      <c r="C27" s="39" t="str">
        <f t="shared" si="12"/>
        <v>CASA DE LA CULTURA PEDRITO RUIZ</v>
      </c>
      <c r="D27" s="4">
        <f t="shared" si="1"/>
        <v>3232964</v>
      </c>
      <c r="E27" s="4" t="str">
        <f t="shared" si="2"/>
        <v>Carrera 9 N° 45 A-44</v>
      </c>
      <c r="F27" s="3" t="str">
        <f t="shared" si="3"/>
        <v>Valle del Cauca</v>
      </c>
      <c r="G27" s="39" t="str">
        <f t="shared" si="4"/>
        <v>GRAPADORA MEDIANA</v>
      </c>
      <c r="H27" s="3">
        <f t="shared" si="5"/>
        <v>30</v>
      </c>
      <c r="I27" s="3">
        <f t="shared" si="6"/>
        <v>30</v>
      </c>
      <c r="J27" s="3">
        <f t="shared" si="7"/>
        <v>4708</v>
      </c>
      <c r="K27" s="6">
        <f t="shared" si="13"/>
        <v>141240</v>
      </c>
      <c r="L27" s="6">
        <f t="shared" si="8"/>
        <v>6355.8</v>
      </c>
      <c r="M27" s="46">
        <f t="shared" si="16"/>
        <v>134884.20000000001</v>
      </c>
      <c r="N27" s="47">
        <f t="shared" si="9"/>
        <v>25627.998000000003</v>
      </c>
      <c r="O27" s="6">
        <f t="shared" si="10"/>
        <v>4720.947000000001</v>
      </c>
      <c r="P27" s="42">
        <f t="shared" si="14"/>
        <v>155791.25099999999</v>
      </c>
      <c r="Q27" s="42" t="str">
        <f t="shared" si="11"/>
        <v>CRÉDITO</v>
      </c>
      <c r="R27" s="42" t="str">
        <f t="shared" si="15"/>
        <v>Mala Demanda</v>
      </c>
    </row>
    <row r="28" spans="1:18" ht="46.5" customHeight="1" x14ac:dyDescent="0.25">
      <c r="A28" s="3">
        <v>716</v>
      </c>
      <c r="B28" s="3" t="str">
        <f t="shared" si="0"/>
        <v>891995856-3</v>
      </c>
      <c r="C28" s="39" t="str">
        <f t="shared" si="12"/>
        <v>FUNDACIÓN UNIVERSITARIA SAN MARTIN</v>
      </c>
      <c r="D28" s="4">
        <f t="shared" si="1"/>
        <v>7232452</v>
      </c>
      <c r="E28" s="4" t="str">
        <f t="shared" si="2"/>
        <v>Carrera 28 N° 19-24</v>
      </c>
      <c r="F28" s="3" t="str">
        <f t="shared" si="3"/>
        <v>Cundinamarca</v>
      </c>
      <c r="G28" s="39" t="str">
        <f t="shared" si="4"/>
        <v>BLOCK TAMAÑO CARTA</v>
      </c>
      <c r="H28" s="3">
        <f t="shared" si="5"/>
        <v>25</v>
      </c>
      <c r="I28" s="3">
        <f t="shared" si="6"/>
        <v>7</v>
      </c>
      <c r="J28" s="3">
        <f t="shared" si="7"/>
        <v>2400</v>
      </c>
      <c r="K28" s="6">
        <f t="shared" si="13"/>
        <v>60000</v>
      </c>
      <c r="L28" s="6">
        <f t="shared" si="8"/>
        <v>2700</v>
      </c>
      <c r="M28" s="46">
        <f t="shared" si="16"/>
        <v>57300</v>
      </c>
      <c r="N28" s="47">
        <f t="shared" si="9"/>
        <v>0</v>
      </c>
      <c r="O28" s="6">
        <f t="shared" si="10"/>
        <v>2005.5000000000002</v>
      </c>
      <c r="P28" s="42">
        <f t="shared" si="14"/>
        <v>55294.5</v>
      </c>
      <c r="Q28" s="42" t="str">
        <f t="shared" si="11"/>
        <v>CONTADO</v>
      </c>
      <c r="R28" s="42" t="str">
        <f t="shared" si="15"/>
        <v>Buena Demanda</v>
      </c>
    </row>
    <row r="29" spans="1:18" ht="34.5" customHeight="1" x14ac:dyDescent="0.25">
      <c r="A29" s="3">
        <v>717</v>
      </c>
      <c r="B29" s="3" t="str">
        <f t="shared" si="0"/>
        <v>800203863-5</v>
      </c>
      <c r="C29" s="39" t="str">
        <f t="shared" si="12"/>
        <v>INSTITUCIÓN UNIVERSITARIA ESCOLME</v>
      </c>
      <c r="D29" s="4">
        <f t="shared" si="1"/>
        <v>8213000</v>
      </c>
      <c r="E29" s="4" t="str">
        <f t="shared" si="2"/>
        <v>Calle 5 N° 3-85</v>
      </c>
      <c r="F29" s="3" t="str">
        <f t="shared" si="3"/>
        <v>Cundinamarca</v>
      </c>
      <c r="G29" s="39" t="str">
        <f t="shared" si="4"/>
        <v>CAJA LAPIZ MIRADO No. 2   X12 U</v>
      </c>
      <c r="H29" s="3">
        <f t="shared" si="5"/>
        <v>35</v>
      </c>
      <c r="I29" s="3">
        <f t="shared" si="6"/>
        <v>15</v>
      </c>
      <c r="J29" s="3">
        <f t="shared" si="7"/>
        <v>7680</v>
      </c>
      <c r="K29" s="6">
        <f t="shared" si="13"/>
        <v>268800</v>
      </c>
      <c r="L29" s="6">
        <f t="shared" si="8"/>
        <v>13440</v>
      </c>
      <c r="M29" s="46">
        <f t="shared" si="16"/>
        <v>255360</v>
      </c>
      <c r="N29" s="47">
        <f t="shared" si="9"/>
        <v>48518.400000000001</v>
      </c>
      <c r="O29" s="6">
        <f t="shared" si="10"/>
        <v>8937.6</v>
      </c>
      <c r="P29" s="42">
        <f t="shared" si="14"/>
        <v>294940.80000000005</v>
      </c>
      <c r="Q29" s="42" t="str">
        <f t="shared" si="11"/>
        <v>CRÉDITO</v>
      </c>
      <c r="R29" s="42" t="str">
        <f t="shared" si="15"/>
        <v>Mala Demanda</v>
      </c>
    </row>
    <row r="30" spans="1:18" ht="34.5" hidden="1" customHeight="1" x14ac:dyDescent="0.25">
      <c r="A30" s="3">
        <v>718</v>
      </c>
      <c r="B30" s="3" t="str">
        <f t="shared" si="0"/>
        <v>860421734-9</v>
      </c>
      <c r="C30" s="39" t="str">
        <f t="shared" si="12"/>
        <v>FUNDACIÓN UNIVERSITARIA INPAHU</v>
      </c>
      <c r="D30" s="4">
        <f t="shared" si="1"/>
        <v>2459170</v>
      </c>
      <c r="E30" s="4" t="str">
        <f t="shared" si="2"/>
        <v>Calle 30 N° 35-18</v>
      </c>
      <c r="F30" s="3" t="str">
        <f t="shared" si="3"/>
        <v>Atlántico</v>
      </c>
      <c r="G30" s="39" t="str">
        <f t="shared" si="4"/>
        <v>GRAPADORA PEQUEÑA</v>
      </c>
      <c r="H30" s="3">
        <f t="shared" si="5"/>
        <v>37</v>
      </c>
      <c r="I30" s="3">
        <f t="shared" si="6"/>
        <v>30</v>
      </c>
      <c r="J30" s="3">
        <f t="shared" si="7"/>
        <v>2456</v>
      </c>
      <c r="K30" s="6">
        <f t="shared" si="13"/>
        <v>90872</v>
      </c>
      <c r="L30" s="6">
        <f t="shared" si="8"/>
        <v>4543.6000000000004</v>
      </c>
      <c r="M30" s="46">
        <f t="shared" si="16"/>
        <v>86328.4</v>
      </c>
      <c r="N30" s="47">
        <f t="shared" si="9"/>
        <v>0</v>
      </c>
      <c r="O30" s="6">
        <f t="shared" si="10"/>
        <v>3021.4940000000001</v>
      </c>
      <c r="P30" s="42">
        <f t="shared" si="14"/>
        <v>83306.905999999988</v>
      </c>
      <c r="Q30" s="42" t="str">
        <f t="shared" si="11"/>
        <v>CONTADO</v>
      </c>
      <c r="R30" s="42" t="str">
        <f t="shared" si="15"/>
        <v>Mala Demanda</v>
      </c>
    </row>
    <row r="31" spans="1:18" ht="34.5" hidden="1" customHeight="1" x14ac:dyDescent="0.25">
      <c r="A31" s="3">
        <v>719</v>
      </c>
      <c r="B31" s="3" t="str">
        <f t="shared" si="0"/>
        <v>890310903-5</v>
      </c>
      <c r="C31" s="39" t="str">
        <f t="shared" si="12"/>
        <v>UNIVERSIDAD DE ANTIOQUIA</v>
      </c>
      <c r="D31" s="4">
        <f t="shared" si="1"/>
        <v>8213000</v>
      </c>
      <c r="E31" s="4" t="str">
        <f t="shared" si="2"/>
        <v>Calle 5 N° 3-85</v>
      </c>
      <c r="F31" s="3" t="str">
        <f t="shared" si="3"/>
        <v>Antioquia</v>
      </c>
      <c r="G31" s="39" t="str">
        <f t="shared" si="4"/>
        <v>BLOCK TAMAÑO CARTA</v>
      </c>
      <c r="H31" s="3">
        <f t="shared" si="5"/>
        <v>30</v>
      </c>
      <c r="I31" s="3">
        <f t="shared" si="6"/>
        <v>5</v>
      </c>
      <c r="J31" s="3">
        <f t="shared" si="7"/>
        <v>2400</v>
      </c>
      <c r="K31" s="6">
        <f t="shared" si="13"/>
        <v>72000</v>
      </c>
      <c r="L31" s="6">
        <f t="shared" si="8"/>
        <v>3240</v>
      </c>
      <c r="M31" s="46">
        <f t="shared" si="16"/>
        <v>68760</v>
      </c>
      <c r="N31" s="47">
        <f t="shared" si="9"/>
        <v>0</v>
      </c>
      <c r="O31" s="6">
        <f t="shared" si="10"/>
        <v>2406.6000000000004</v>
      </c>
      <c r="P31" s="42">
        <f t="shared" si="14"/>
        <v>66353.399999999994</v>
      </c>
      <c r="Q31" s="42" t="str">
        <f t="shared" si="11"/>
        <v>CRÉDITO</v>
      </c>
      <c r="R31" s="42" t="str">
        <f t="shared" si="15"/>
        <v>Buena Demanda</v>
      </c>
    </row>
    <row r="32" spans="1:18" ht="34.5" hidden="1" customHeight="1" x14ac:dyDescent="0.25">
      <c r="A32" s="3">
        <v>720</v>
      </c>
      <c r="B32" s="3" t="str">
        <f t="shared" si="0"/>
        <v>890212433-5</v>
      </c>
      <c r="C32" s="39" t="str">
        <f t="shared" si="12"/>
        <v>UNIVERSIDAD TÉCNICO AGRÍCOLA ITA</v>
      </c>
      <c r="D32" s="4">
        <f t="shared" si="1"/>
        <v>3172267</v>
      </c>
      <c r="E32" s="4" t="str">
        <f t="shared" si="2"/>
        <v>Carrera 53 N° 59-70</v>
      </c>
      <c r="F32" s="3" t="str">
        <f t="shared" si="3"/>
        <v>Nariño</v>
      </c>
      <c r="G32" s="39" t="str">
        <f t="shared" si="4"/>
        <v>CAJA DE LAPICEROS KILOMETRICO X 12 U</v>
      </c>
      <c r="H32" s="3">
        <f t="shared" si="5"/>
        <v>45</v>
      </c>
      <c r="I32" s="3">
        <f t="shared" si="6"/>
        <v>3</v>
      </c>
      <c r="J32" s="3">
        <f t="shared" si="7"/>
        <v>3500</v>
      </c>
      <c r="K32" s="6">
        <f t="shared" si="13"/>
        <v>157500</v>
      </c>
      <c r="L32" s="6">
        <f t="shared" si="8"/>
        <v>7875</v>
      </c>
      <c r="M32" s="46">
        <f t="shared" si="16"/>
        <v>149625</v>
      </c>
      <c r="N32" s="47">
        <f t="shared" si="9"/>
        <v>28428.75</v>
      </c>
      <c r="O32" s="6">
        <f t="shared" si="10"/>
        <v>5236.8750000000009</v>
      </c>
      <c r="P32" s="42">
        <f t="shared" si="14"/>
        <v>172816.875</v>
      </c>
      <c r="Q32" s="42" t="str">
        <f t="shared" si="11"/>
        <v>CONTADO</v>
      </c>
      <c r="R32" s="42" t="str">
        <f t="shared" si="15"/>
        <v>Buena Demanda</v>
      </c>
    </row>
    <row r="33" spans="1:18" ht="34.5" hidden="1" customHeight="1" x14ac:dyDescent="0.25">
      <c r="A33" s="3">
        <v>721</v>
      </c>
      <c r="B33" s="3" t="str">
        <f t="shared" si="0"/>
        <v>823004609-9</v>
      </c>
      <c r="C33" s="39" t="str">
        <f t="shared" si="12"/>
        <v>INSTITUTO DEPARTAMENTAL ARTES</v>
      </c>
      <c r="D33" s="4">
        <f t="shared" si="1"/>
        <v>6061101</v>
      </c>
      <c r="E33" s="4" t="str">
        <f t="shared" si="2"/>
        <v>Calle 70 N° 10 A-39</v>
      </c>
      <c r="F33" s="3" t="str">
        <f t="shared" si="3"/>
        <v>Risaralda</v>
      </c>
      <c r="G33" s="39" t="str">
        <f t="shared" si="4"/>
        <v>CARPETAS PARA ARCHIVO TAMAÑO OFICIO</v>
      </c>
      <c r="H33" s="3">
        <f t="shared" si="5"/>
        <v>32</v>
      </c>
      <c r="I33" s="3">
        <f t="shared" si="6"/>
        <v>30</v>
      </c>
      <c r="J33" s="3">
        <f t="shared" si="7"/>
        <v>7100</v>
      </c>
      <c r="K33" s="6">
        <f t="shared" si="13"/>
        <v>227200</v>
      </c>
      <c r="L33" s="6">
        <f t="shared" si="8"/>
        <v>11360</v>
      </c>
      <c r="M33" s="46">
        <f t="shared" si="16"/>
        <v>215840</v>
      </c>
      <c r="N33" s="47">
        <f t="shared" si="9"/>
        <v>41009.599999999999</v>
      </c>
      <c r="O33" s="6">
        <f t="shared" si="10"/>
        <v>7554.4000000000005</v>
      </c>
      <c r="P33" s="42">
        <f t="shared" si="14"/>
        <v>249295.2</v>
      </c>
      <c r="Q33" s="42" t="str">
        <f t="shared" si="11"/>
        <v>CRÉDITO</v>
      </c>
      <c r="R33" s="42" t="str">
        <f t="shared" si="15"/>
        <v>Mala Demanda</v>
      </c>
    </row>
    <row r="34" spans="1:18" ht="34.5" hidden="1" customHeight="1" x14ac:dyDescent="0.25">
      <c r="A34" s="3">
        <v>722</v>
      </c>
      <c r="B34" s="3" t="str">
        <f t="shared" si="0"/>
        <v>890982134-3</v>
      </c>
      <c r="C34" s="39" t="str">
        <f t="shared" si="12"/>
        <v>UNIVERSIDAD ANTIONIO JOSÉ</v>
      </c>
      <c r="D34" s="4">
        <f t="shared" si="1"/>
        <v>2812282</v>
      </c>
      <c r="E34" s="4" t="str">
        <f t="shared" si="2"/>
        <v>Calle 27 N° 21-49</v>
      </c>
      <c r="F34" s="3" t="str">
        <f t="shared" si="3"/>
        <v>Sucre</v>
      </c>
      <c r="G34" s="39" t="str">
        <f t="shared" si="4"/>
        <v>CARPETAS PARA ARCHIVO TAMAÑO CARTA</v>
      </c>
      <c r="H34" s="3">
        <f t="shared" si="5"/>
        <v>24</v>
      </c>
      <c r="I34" s="3">
        <f t="shared" si="6"/>
        <v>30</v>
      </c>
      <c r="J34" s="3">
        <f t="shared" si="7"/>
        <v>4500</v>
      </c>
      <c r="K34" s="6">
        <f t="shared" si="13"/>
        <v>108000</v>
      </c>
      <c r="L34" s="6">
        <f t="shared" si="8"/>
        <v>4860</v>
      </c>
      <c r="M34" s="46">
        <f t="shared" si="16"/>
        <v>103140</v>
      </c>
      <c r="N34" s="47">
        <f t="shared" si="9"/>
        <v>19596.599999999999</v>
      </c>
      <c r="O34" s="6">
        <f t="shared" si="10"/>
        <v>3609.9000000000005</v>
      </c>
      <c r="P34" s="42">
        <f t="shared" si="14"/>
        <v>119126.70000000001</v>
      </c>
      <c r="Q34" s="42" t="str">
        <f t="shared" si="11"/>
        <v>CONTADO</v>
      </c>
      <c r="R34" s="42" t="str">
        <f t="shared" si="15"/>
        <v>Mala Demanda</v>
      </c>
    </row>
    <row r="35" spans="1:18" ht="43.5" hidden="1" customHeight="1" x14ac:dyDescent="0.25">
      <c r="A35" s="3">
        <v>723</v>
      </c>
      <c r="B35" s="3" t="str">
        <f t="shared" si="0"/>
        <v>892480054-9</v>
      </c>
      <c r="C35" s="39" t="str">
        <f t="shared" si="12"/>
        <v>INSTITUCIÓN DE EDUCACIÓN EMPRESARIAL</v>
      </c>
      <c r="D35" s="4">
        <f t="shared" si="1"/>
        <v>2804017</v>
      </c>
      <c r="E35" s="4" t="str">
        <f t="shared" si="2"/>
        <v>Calle 21 N° 6-01</v>
      </c>
      <c r="F35" s="3" t="str">
        <f t="shared" si="3"/>
        <v>Sucre</v>
      </c>
      <c r="G35" s="39" t="str">
        <f t="shared" si="4"/>
        <v>CARPETAS PARA ARCHIVO TAMAÑO CARTA</v>
      </c>
      <c r="H35" s="3">
        <f t="shared" si="5"/>
        <v>21</v>
      </c>
      <c r="I35" s="3">
        <f t="shared" si="6"/>
        <v>30</v>
      </c>
      <c r="J35" s="3">
        <f t="shared" si="7"/>
        <v>4500</v>
      </c>
      <c r="K35" s="6">
        <f t="shared" si="13"/>
        <v>94500</v>
      </c>
      <c r="L35" s="6">
        <f t="shared" si="8"/>
        <v>4252.5</v>
      </c>
      <c r="M35" s="46">
        <f t="shared" si="16"/>
        <v>90247.5</v>
      </c>
      <c r="N35" s="47">
        <f t="shared" si="9"/>
        <v>17147.025000000001</v>
      </c>
      <c r="O35" s="6">
        <f t="shared" si="10"/>
        <v>3158.6625000000004</v>
      </c>
      <c r="P35" s="42">
        <f t="shared" si="14"/>
        <v>104235.86249999999</v>
      </c>
      <c r="Q35" s="42" t="str">
        <f t="shared" si="11"/>
        <v>CRÉDITO</v>
      </c>
      <c r="R35" s="42" t="str">
        <f t="shared" si="15"/>
        <v>Mala Demanda</v>
      </c>
    </row>
    <row r="36" spans="1:18" ht="34.5" hidden="1" customHeight="1" x14ac:dyDescent="0.25">
      <c r="A36" s="3">
        <v>724</v>
      </c>
      <c r="B36" s="3" t="str">
        <f t="shared" si="0"/>
        <v>891421189-6</v>
      </c>
      <c r="C36" s="39" t="str">
        <f t="shared" si="12"/>
        <v xml:space="preserve">UNIVERSIDAD CENTRAL </v>
      </c>
      <c r="D36" s="4">
        <f t="shared" si="1"/>
        <v>3681013</v>
      </c>
      <c r="E36" s="4" t="str">
        <f t="shared" si="2"/>
        <v>Carrera 50 N° 79-155</v>
      </c>
      <c r="F36" s="3" t="str">
        <f t="shared" si="3"/>
        <v>Valle del Cauca</v>
      </c>
      <c r="G36" s="39" t="str">
        <f t="shared" si="4"/>
        <v xml:space="preserve">MORRAL </v>
      </c>
      <c r="H36" s="3">
        <f t="shared" si="5"/>
        <v>26</v>
      </c>
      <c r="I36" s="3">
        <f t="shared" si="6"/>
        <v>30</v>
      </c>
      <c r="J36" s="3">
        <f t="shared" si="7"/>
        <v>24000</v>
      </c>
      <c r="K36" s="6">
        <f t="shared" si="13"/>
        <v>624000</v>
      </c>
      <c r="L36" s="6">
        <f t="shared" si="8"/>
        <v>28080</v>
      </c>
      <c r="M36" s="46">
        <f t="shared" si="16"/>
        <v>595920</v>
      </c>
      <c r="N36" s="47">
        <f t="shared" si="9"/>
        <v>113224.8</v>
      </c>
      <c r="O36" s="6">
        <f t="shared" si="10"/>
        <v>0</v>
      </c>
      <c r="P36" s="42">
        <f t="shared" si="14"/>
        <v>709144.8</v>
      </c>
      <c r="Q36" s="42" t="str">
        <f t="shared" si="11"/>
        <v>CONTADO</v>
      </c>
      <c r="R36" s="42" t="str">
        <f t="shared" si="15"/>
        <v>Mala Demanda</v>
      </c>
    </row>
    <row r="37" spans="1:18" ht="34.5" hidden="1" customHeight="1" x14ac:dyDescent="0.25">
      <c r="A37" s="3">
        <v>725</v>
      </c>
      <c r="B37" s="3" t="str">
        <f t="shared" si="0"/>
        <v>8902704562-5</v>
      </c>
      <c r="C37" s="39" t="str">
        <f t="shared" si="12"/>
        <v>UNIVERSIDAD EAFIT</v>
      </c>
      <c r="D37" s="4">
        <f t="shared" si="1"/>
        <v>3489292</v>
      </c>
      <c r="E37" s="4" t="str">
        <f t="shared" si="2"/>
        <v>Calle 67 N° 5-27</v>
      </c>
      <c r="F37" s="3" t="str">
        <f t="shared" si="3"/>
        <v>Antioquia</v>
      </c>
      <c r="G37" s="39" t="str">
        <f t="shared" si="4"/>
        <v xml:space="preserve">MORRAL </v>
      </c>
      <c r="H37" s="3">
        <f t="shared" si="5"/>
        <v>39</v>
      </c>
      <c r="I37" s="3">
        <f t="shared" si="6"/>
        <v>30</v>
      </c>
      <c r="J37" s="3">
        <f t="shared" si="7"/>
        <v>24000</v>
      </c>
      <c r="K37" s="6">
        <f t="shared" si="13"/>
        <v>936000</v>
      </c>
      <c r="L37" s="6">
        <f t="shared" si="8"/>
        <v>46800</v>
      </c>
      <c r="M37" s="46">
        <f t="shared" si="16"/>
        <v>889200</v>
      </c>
      <c r="N37" s="47">
        <f t="shared" si="9"/>
        <v>168948</v>
      </c>
      <c r="O37" s="6">
        <f t="shared" si="10"/>
        <v>0</v>
      </c>
      <c r="P37" s="42">
        <f t="shared" si="14"/>
        <v>1058148</v>
      </c>
      <c r="Q37" s="42" t="str">
        <f t="shared" si="11"/>
        <v>CRÉDITO</v>
      </c>
      <c r="R37" s="42" t="str">
        <f t="shared" si="15"/>
        <v>Mala Demanda</v>
      </c>
    </row>
    <row r="38" spans="1:18" ht="34.5" customHeight="1" x14ac:dyDescent="0.25">
      <c r="A38" s="3">
        <v>726</v>
      </c>
      <c r="B38" s="3" t="str">
        <f t="shared" si="0"/>
        <v>891204706-2</v>
      </c>
      <c r="C38" s="39" t="str">
        <f t="shared" si="12"/>
        <v>UNIVERSIDAD DE LOS ANDES</v>
      </c>
      <c r="D38" s="4">
        <f t="shared" si="1"/>
        <v>2916520</v>
      </c>
      <c r="E38" s="4" t="str">
        <f t="shared" si="2"/>
        <v>Calle 81 B N° 79-155</v>
      </c>
      <c r="F38" s="3" t="str">
        <f t="shared" si="3"/>
        <v>Cundinamarca</v>
      </c>
      <c r="G38" s="39" t="str">
        <f t="shared" si="4"/>
        <v xml:space="preserve">CRAYOLAS </v>
      </c>
      <c r="H38" s="3">
        <f t="shared" si="5"/>
        <v>41</v>
      </c>
      <c r="I38" s="3">
        <f t="shared" si="6"/>
        <v>4</v>
      </c>
      <c r="J38" s="3">
        <f t="shared" si="7"/>
        <v>1000</v>
      </c>
      <c r="K38" s="6">
        <f t="shared" si="13"/>
        <v>41000</v>
      </c>
      <c r="L38" s="6">
        <f t="shared" si="8"/>
        <v>2050</v>
      </c>
      <c r="M38" s="46">
        <f t="shared" si="16"/>
        <v>38950</v>
      </c>
      <c r="N38" s="47">
        <f t="shared" si="9"/>
        <v>0</v>
      </c>
      <c r="O38" s="6">
        <f t="shared" si="10"/>
        <v>1363.2500000000002</v>
      </c>
      <c r="P38" s="42">
        <f t="shared" si="14"/>
        <v>37586.75</v>
      </c>
      <c r="Q38" s="42" t="str">
        <f t="shared" si="11"/>
        <v>CONTADO</v>
      </c>
      <c r="R38" s="42" t="str">
        <f t="shared" si="15"/>
        <v>Buena Demanda</v>
      </c>
    </row>
    <row r="39" spans="1:18" ht="46.5" customHeight="1" x14ac:dyDescent="0.25">
      <c r="A39" s="3">
        <v>727</v>
      </c>
      <c r="B39" s="3" t="str">
        <f t="shared" si="0"/>
        <v>893500248-9</v>
      </c>
      <c r="C39" s="39" t="str">
        <f t="shared" si="12"/>
        <v>UNIVERSIDAD AUTONOMA DE OCCIDENTE</v>
      </c>
      <c r="D39" s="4">
        <f t="shared" si="1"/>
        <v>5132100</v>
      </c>
      <c r="E39" s="4" t="str">
        <f t="shared" si="2"/>
        <v>Calle 51 N° 72 A-70</v>
      </c>
      <c r="F39" s="3" t="str">
        <f t="shared" si="3"/>
        <v>Cundinamarca</v>
      </c>
      <c r="G39" s="39" t="str">
        <f t="shared" si="4"/>
        <v>CAJA DE COLORES NORMA</v>
      </c>
      <c r="H39" s="3">
        <f t="shared" si="5"/>
        <v>43</v>
      </c>
      <c r="I39" s="3">
        <f t="shared" si="6"/>
        <v>7</v>
      </c>
      <c r="J39" s="3">
        <f t="shared" si="7"/>
        <v>9500</v>
      </c>
      <c r="K39" s="6">
        <f t="shared" si="13"/>
        <v>408500</v>
      </c>
      <c r="L39" s="6">
        <f t="shared" si="8"/>
        <v>20425</v>
      </c>
      <c r="M39" s="46">
        <f t="shared" si="16"/>
        <v>388075</v>
      </c>
      <c r="N39" s="47">
        <f t="shared" si="9"/>
        <v>73734.25</v>
      </c>
      <c r="O39" s="6">
        <f t="shared" si="10"/>
        <v>13582.625000000002</v>
      </c>
      <c r="P39" s="42">
        <f t="shared" si="14"/>
        <v>448226.625</v>
      </c>
      <c r="Q39" s="42" t="str">
        <f t="shared" si="11"/>
        <v>CRÉDITO</v>
      </c>
      <c r="R39" s="42" t="str">
        <f t="shared" si="15"/>
        <v>Buena Demanda</v>
      </c>
    </row>
    <row r="40" spans="1:18" ht="34.5" hidden="1" customHeight="1" x14ac:dyDescent="0.25">
      <c r="A40" s="3">
        <v>728</v>
      </c>
      <c r="B40" s="3" t="str">
        <f t="shared" si="0"/>
        <v>860503837-7</v>
      </c>
      <c r="C40" s="39" t="str">
        <f t="shared" si="12"/>
        <v>UNIPANAMERICANA</v>
      </c>
      <c r="D40" s="4">
        <f t="shared" si="1"/>
        <v>7434343</v>
      </c>
      <c r="E40" s="4" t="str">
        <f t="shared" si="2"/>
        <v>Calle 76 N° 12-58</v>
      </c>
      <c r="F40" s="3" t="str">
        <f t="shared" si="3"/>
        <v>Risaralda</v>
      </c>
      <c r="G40" s="39" t="str">
        <f t="shared" si="4"/>
        <v xml:space="preserve">CRAYOLAS </v>
      </c>
      <c r="H40" s="3">
        <f t="shared" si="5"/>
        <v>22</v>
      </c>
      <c r="I40" s="3">
        <f t="shared" si="6"/>
        <v>5</v>
      </c>
      <c r="J40" s="3">
        <f t="shared" si="7"/>
        <v>1000</v>
      </c>
      <c r="K40" s="6">
        <f t="shared" si="13"/>
        <v>22000</v>
      </c>
      <c r="L40" s="6">
        <f t="shared" si="8"/>
        <v>990</v>
      </c>
      <c r="M40" s="46">
        <f t="shared" si="16"/>
        <v>21010</v>
      </c>
      <c r="N40" s="47">
        <f t="shared" si="9"/>
        <v>0</v>
      </c>
      <c r="O40" s="6">
        <f t="shared" si="10"/>
        <v>735.35</v>
      </c>
      <c r="P40" s="42">
        <f t="shared" si="14"/>
        <v>20274.650000000001</v>
      </c>
      <c r="Q40" s="42" t="str">
        <f t="shared" si="11"/>
        <v>CRÉDITO</v>
      </c>
      <c r="R40" s="42" t="str">
        <f t="shared" si="15"/>
        <v>Buena Demanda</v>
      </c>
    </row>
    <row r="41" spans="1:18" ht="34.5" hidden="1" customHeight="1" x14ac:dyDescent="0.25">
      <c r="A41" s="3">
        <v>729</v>
      </c>
      <c r="B41" s="3" t="str">
        <f t="shared" si="0"/>
        <v>811005425-1</v>
      </c>
      <c r="C41" s="39" t="str">
        <f t="shared" si="12"/>
        <v>UNIVERSIDAD DE PAMPLONA</v>
      </c>
      <c r="D41" s="4">
        <f t="shared" si="1"/>
        <v>2320606</v>
      </c>
      <c r="E41" s="4" t="str">
        <f t="shared" si="2"/>
        <v>Carrera 19 N° 49-20</v>
      </c>
      <c r="F41" s="3" t="str">
        <f t="shared" si="3"/>
        <v>Sucre</v>
      </c>
      <c r="G41" s="39" t="str">
        <f t="shared" si="4"/>
        <v>GRAPADORA MEDIANA</v>
      </c>
      <c r="H41" s="3">
        <f t="shared" si="5"/>
        <v>20</v>
      </c>
      <c r="I41" s="3">
        <f t="shared" si="6"/>
        <v>30</v>
      </c>
      <c r="J41" s="3">
        <f t="shared" si="7"/>
        <v>4708</v>
      </c>
      <c r="K41" s="6">
        <f t="shared" si="13"/>
        <v>94160</v>
      </c>
      <c r="L41" s="6">
        <f t="shared" si="8"/>
        <v>2824.7999999999997</v>
      </c>
      <c r="M41" s="46">
        <f t="shared" si="16"/>
        <v>91335.2</v>
      </c>
      <c r="N41" s="47">
        <f t="shared" si="9"/>
        <v>17353.687999999998</v>
      </c>
      <c r="O41" s="6">
        <f t="shared" si="10"/>
        <v>3196.7320000000004</v>
      </c>
      <c r="P41" s="42">
        <f t="shared" si="14"/>
        <v>105492.15599999999</v>
      </c>
      <c r="Q41" s="42" t="str">
        <f t="shared" si="11"/>
        <v>CONTADO</v>
      </c>
      <c r="R41" s="42" t="str">
        <f t="shared" si="15"/>
        <v>Mala Demanda</v>
      </c>
    </row>
    <row r="42" spans="1:18" ht="34.5" hidden="1" customHeight="1" x14ac:dyDescent="0.25">
      <c r="A42" s="3">
        <v>730</v>
      </c>
      <c r="B42" s="3" t="str">
        <f t="shared" si="0"/>
        <v>860510627-6</v>
      </c>
      <c r="C42" s="39" t="str">
        <f t="shared" si="12"/>
        <v>UNIVERSIDAD DEL ATLÁNTICO</v>
      </c>
      <c r="D42" s="4">
        <f t="shared" si="1"/>
        <v>2880693</v>
      </c>
      <c r="E42" s="4" t="str">
        <f t="shared" si="2"/>
        <v>Calle 9 N° 34-01</v>
      </c>
      <c r="F42" s="3" t="str">
        <f t="shared" si="3"/>
        <v xml:space="preserve">Atlántico </v>
      </c>
      <c r="G42" s="39" t="str">
        <f t="shared" si="4"/>
        <v xml:space="preserve">MORRAL </v>
      </c>
      <c r="H42" s="3">
        <f t="shared" si="5"/>
        <v>10</v>
      </c>
      <c r="I42" s="3">
        <f t="shared" si="6"/>
        <v>30</v>
      </c>
      <c r="J42" s="3">
        <f t="shared" si="7"/>
        <v>24000</v>
      </c>
      <c r="K42" s="6">
        <f t="shared" si="13"/>
        <v>240000</v>
      </c>
      <c r="L42" s="6">
        <f t="shared" si="8"/>
        <v>7200</v>
      </c>
      <c r="M42" s="46">
        <f t="shared" si="16"/>
        <v>232800</v>
      </c>
      <c r="N42" s="47">
        <f t="shared" si="9"/>
        <v>44232</v>
      </c>
      <c r="O42" s="6">
        <f t="shared" si="10"/>
        <v>8148.0000000000009</v>
      </c>
      <c r="P42" s="42">
        <f t="shared" si="14"/>
        <v>268884</v>
      </c>
      <c r="Q42" s="42" t="str">
        <f t="shared" si="11"/>
        <v>CONTADO</v>
      </c>
      <c r="R42" s="42" t="str">
        <f t="shared" si="15"/>
        <v>Mala Demanda</v>
      </c>
    </row>
    <row r="43" spans="1:18" hidden="1" x14ac:dyDescent="0.25">
      <c r="A43" s="15"/>
      <c r="I43" s="3" t="str">
        <f t="shared" si="6"/>
        <v/>
      </c>
      <c r="J43" s="14"/>
      <c r="K43" s="14"/>
      <c r="L43" s="6"/>
      <c r="M43" s="6"/>
      <c r="N43" s="47"/>
      <c r="O43" s="6"/>
      <c r="P43" s="7"/>
      <c r="Q43" s="7" t="str">
        <f t="shared" si="11"/>
        <v/>
      </c>
      <c r="R43" s="42"/>
    </row>
    <row r="44" spans="1:18" hidden="1" x14ac:dyDescent="0.25">
      <c r="I44" s="41" t="str">
        <f t="shared" si="6"/>
        <v/>
      </c>
      <c r="L44" s="52"/>
      <c r="M44" s="52"/>
      <c r="N44" s="53"/>
      <c r="O44" s="52"/>
      <c r="P44" s="43"/>
      <c r="Q44" s="43" t="str">
        <f t="shared" si="11"/>
        <v/>
      </c>
      <c r="R44" s="54"/>
    </row>
    <row r="45" spans="1:18" hidden="1" x14ac:dyDescent="0.25">
      <c r="I45" s="41" t="str">
        <f t="shared" si="6"/>
        <v/>
      </c>
      <c r="L45" s="52"/>
      <c r="M45" s="52"/>
      <c r="N45" s="53"/>
      <c r="O45" s="52"/>
      <c r="P45" s="43"/>
      <c r="Q45" s="43" t="str">
        <f t="shared" si="11"/>
        <v/>
      </c>
      <c r="R45" s="54"/>
    </row>
    <row r="46" spans="1:18" hidden="1" x14ac:dyDescent="0.25">
      <c r="I46" s="41" t="str">
        <f t="shared" si="6"/>
        <v/>
      </c>
      <c r="L46" s="52"/>
      <c r="M46" s="52"/>
      <c r="N46" s="53"/>
      <c r="O46" s="52"/>
      <c r="P46" s="43"/>
      <c r="Q46" s="43" t="str">
        <f t="shared" si="11"/>
        <v/>
      </c>
      <c r="R46" s="54"/>
    </row>
    <row r="47" spans="1:18" hidden="1" x14ac:dyDescent="0.25">
      <c r="I47" s="41" t="str">
        <f t="shared" si="6"/>
        <v/>
      </c>
      <c r="L47" s="52"/>
      <c r="M47" s="52"/>
      <c r="N47" s="53"/>
      <c r="O47" s="52"/>
      <c r="P47" s="43"/>
      <c r="Q47" s="43" t="str">
        <f t="shared" si="11"/>
        <v/>
      </c>
      <c r="R47" s="54"/>
    </row>
    <row r="48" spans="1:18" hidden="1" x14ac:dyDescent="0.25">
      <c r="I48" s="41" t="str">
        <f t="shared" si="6"/>
        <v/>
      </c>
      <c r="L48" s="52"/>
      <c r="M48" s="52"/>
      <c r="N48" s="53"/>
      <c r="O48" s="52"/>
      <c r="P48" s="43"/>
      <c r="Q48" s="43" t="str">
        <f t="shared" si="11"/>
        <v/>
      </c>
      <c r="R48" s="54"/>
    </row>
    <row r="49" spans="2:18" hidden="1" x14ac:dyDescent="0.25">
      <c r="I49" s="41" t="str">
        <f t="shared" si="6"/>
        <v/>
      </c>
      <c r="L49" s="52"/>
      <c r="M49" s="52"/>
      <c r="N49" s="53"/>
      <c r="O49" s="52"/>
      <c r="P49" s="43"/>
      <c r="Q49" s="43" t="str">
        <f t="shared" si="11"/>
        <v/>
      </c>
      <c r="R49" s="54"/>
    </row>
    <row r="50" spans="2:18" hidden="1" x14ac:dyDescent="0.25">
      <c r="C50" s="49"/>
      <c r="D50" s="20"/>
      <c r="E50" s="20"/>
      <c r="I50" s="41" t="str">
        <f t="shared" si="6"/>
        <v/>
      </c>
      <c r="L50" s="52"/>
      <c r="M50" s="52"/>
      <c r="N50" s="53"/>
      <c r="O50" s="52"/>
      <c r="P50" s="43"/>
      <c r="Q50" s="43" t="str">
        <f t="shared" si="11"/>
        <v/>
      </c>
      <c r="R50" s="54"/>
    </row>
    <row r="53" spans="2:18" x14ac:dyDescent="0.25">
      <c r="B53" s="3" t="str">
        <f>IF(ISBLANK(A43),"",IF(ISERROR(VLOOKUP(A43,bdpapeleria,2,FALSE)),"El dato no existe",VLOOKUP(A43,bdpapeleria,2,FALSE)))</f>
        <v/>
      </c>
      <c r="C53" s="85" t="s">
        <v>72</v>
      </c>
      <c r="D53" s="85"/>
      <c r="E53" s="85"/>
      <c r="F53" s="85"/>
      <c r="G53" s="85"/>
      <c r="H53" s="85"/>
    </row>
    <row r="54" spans="2:18" x14ac:dyDescent="0.25">
      <c r="B54" s="36" t="s">
        <v>73</v>
      </c>
      <c r="C54" s="40">
        <f>SUM(H13:H42)</f>
        <v>891</v>
      </c>
      <c r="D54" s="48"/>
      <c r="E54" s="45" t="s">
        <v>8</v>
      </c>
      <c r="F54" s="45">
        <v>0.03</v>
      </c>
      <c r="G54" s="44">
        <v>4.4999999999999998E-2</v>
      </c>
      <c r="H54" s="45">
        <v>0.05</v>
      </c>
    </row>
    <row r="55" spans="2:18" x14ac:dyDescent="0.25">
      <c r="B55" s="36" t="s">
        <v>74</v>
      </c>
      <c r="C55" s="55">
        <f>SUM(M13:M42)</f>
        <v>7957042.7000000002</v>
      </c>
      <c r="D55" s="20"/>
      <c r="E55" s="50" t="s">
        <v>10</v>
      </c>
      <c r="F55" s="45">
        <v>0.19</v>
      </c>
      <c r="G55" s="51"/>
      <c r="H55" s="51"/>
    </row>
    <row r="56" spans="2:18" x14ac:dyDescent="0.25">
      <c r="B56" s="36" t="s">
        <v>12</v>
      </c>
      <c r="C56" s="55">
        <f>SUM(P13:P42)</f>
        <v>9253155.7395000011</v>
      </c>
      <c r="D56" s="20"/>
      <c r="E56" s="50" t="s">
        <v>163</v>
      </c>
      <c r="F56" s="44">
        <v>3.5000000000000003E-2</v>
      </c>
      <c r="G56" s="51"/>
      <c r="H56" s="51"/>
    </row>
    <row r="57" spans="2:18" x14ac:dyDescent="0.25">
      <c r="B57" s="36" t="s">
        <v>75</v>
      </c>
      <c r="C57" s="55">
        <f>AVERAGE(P13:P42)</f>
        <v>308438.52465000004</v>
      </c>
      <c r="D57" s="20"/>
      <c r="E57" s="20"/>
    </row>
    <row r="58" spans="2:18" x14ac:dyDescent="0.25">
      <c r="B58" s="36" t="s">
        <v>76</v>
      </c>
      <c r="C58" s="55">
        <f>MAX(P13:P42)</f>
        <v>1380510.075</v>
      </c>
      <c r="D58" s="20"/>
      <c r="E58" s="20"/>
    </row>
    <row r="59" spans="2:18" x14ac:dyDescent="0.25">
      <c r="B59" s="36" t="s">
        <v>77</v>
      </c>
      <c r="C59" s="55">
        <f>MIN(P13:P42)</f>
        <v>20274.650000000001</v>
      </c>
      <c r="D59" s="20"/>
      <c r="E59" s="20"/>
    </row>
  </sheetData>
  <mergeCells count="3">
    <mergeCell ref="A2:P2"/>
    <mergeCell ref="A4:P4"/>
    <mergeCell ref="C53:H53"/>
  </mergeCells>
  <pageMargins left="0.7" right="0.7" top="0.75" bottom="0.75" header="0.3" footer="0.3"/>
  <pageSetup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G1" workbookViewId="0">
      <selection activeCell="I7" sqref="I7"/>
    </sheetView>
  </sheetViews>
  <sheetFormatPr baseColWidth="10" defaultRowHeight="15" outlineLevelRow="2" x14ac:dyDescent="0.25"/>
  <cols>
    <col min="2" max="2" width="27.140625" customWidth="1"/>
    <col min="3" max="5" width="30.42578125" customWidth="1"/>
    <col min="6" max="8" width="23.7109375" customWidth="1"/>
    <col min="9" max="9" width="30.5703125" customWidth="1"/>
    <col min="10" max="17" width="23.7109375" customWidth="1"/>
    <col min="18" max="18" width="24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  <c r="R2" s="37"/>
    </row>
    <row r="3" spans="1:18" ht="9.7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3.75" customHeight="1" x14ac:dyDescent="0.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</row>
    <row r="5" spans="1:18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2" t="s">
        <v>2</v>
      </c>
      <c r="B6" s="2" t="s">
        <v>88</v>
      </c>
      <c r="C6" s="2" t="s">
        <v>3</v>
      </c>
      <c r="D6" s="2" t="s">
        <v>90</v>
      </c>
      <c r="E6" s="2" t="s">
        <v>89</v>
      </c>
      <c r="F6" s="2" t="s">
        <v>22</v>
      </c>
      <c r="G6" s="2" t="s">
        <v>4</v>
      </c>
      <c r="H6" s="2" t="s">
        <v>5</v>
      </c>
      <c r="I6" s="2" t="s">
        <v>162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2" t="s">
        <v>11</v>
      </c>
      <c r="P6" s="2" t="s">
        <v>12</v>
      </c>
      <c r="Q6" s="2" t="s">
        <v>91</v>
      </c>
      <c r="R6" s="2" t="s">
        <v>71</v>
      </c>
    </row>
    <row r="7" spans="1:18" ht="39" customHeight="1" outlineLevel="2" x14ac:dyDescent="0.25">
      <c r="A7" s="3">
        <v>714</v>
      </c>
      <c r="B7" s="3" t="str">
        <f>IF(ISBLANK(A7),"",IF(ISERROR(VLOOKUP(A7,bdpapeleria,2,FALSE)),"El dato no existe",VLOOKUP(A7,bdpapeleria,2,FALSE)))</f>
        <v>862504543-1</v>
      </c>
      <c r="C7" s="39" t="str">
        <f>IF(ISBLANK(A7),"",IF(ISERROR(VLOOKUP(A7,bdpapeleria,3,FALSE)),"El dato no existe",VLOOKUP(A7,bdpapeleria,3,FALSE)))</f>
        <v>CORPORACION ARTES Y OFICIOS</v>
      </c>
      <c r="D7" s="4">
        <f>IF(ISBLANK(A7),"",IF(ISERROR(VLOOKUP(A7,bdpapeleria,4,FALSE)),"El dato no existe",VLOOKUP(A7,bdpapeleria,4,FALSE)))</f>
        <v>2321617</v>
      </c>
      <c r="E7" s="4" t="str">
        <f>IF(ISBLANK(A7),"",IF(ISERROR(VLOOKUP(A7,bdpapeleria,5,FALSE)),"El dato no existe",VLOOKUP(A7,bdpapeleria,5,FALSE)))</f>
        <v>Calle 33 N° 11-50</v>
      </c>
      <c r="F7" s="3" t="str">
        <f>IF(ISBLANK(A7),"",IF(ISERROR(VLOOKUP(A7,bdpapeleria,6,FALSE)),"El dato no existe",VLOOKUP(A7,bdpapeleria,6,FALSE)))</f>
        <v>Nariño</v>
      </c>
      <c r="G7" s="39" t="str">
        <f>IF(ISBLANK(A7),"",IF(ISERROR(VLOOKUP(A7,bdpapeleria,7,FALSE)),"El dato no existe",VLOOKUP(A7,bdpapeleria,7,FALSE)))</f>
        <v>BLOCK TAMAÑO CARTA</v>
      </c>
      <c r="H7" s="3">
        <f>IF(ISBLANK(A7),"",IF(ISERROR(VLOOKUP(A7,bdpapeleria,8,FALSE)),"El dato no existe",VLOOKUP(A7,bdpapeleria,8,FALSE)))</f>
        <v>29</v>
      </c>
      <c r="I7" s="3">
        <f>IF(ISBLANK(A7),"",IF(ISERROR(VLOOKUP(A7,bdpapeleria,9,FALSE)),"El dato no existe",VLOOKUP(A7,bdpapeleria,9,FALSE)))</f>
        <v>2</v>
      </c>
      <c r="J7" s="3">
        <f>IF(ISBLANK(A7),"",IF(ISERROR(VLOOKUP(A7,bdpapeleria,10,FALSE)),"El dato no existe",VLOOKUP(A7,bdpapeleria,10,FALSE)))</f>
        <v>2400</v>
      </c>
      <c r="K7" s="6">
        <f>J7*H7</f>
        <v>69600</v>
      </c>
      <c r="L7" s="6">
        <f>IF(AND(H7&gt;=10,H7&lt;=20),K7*$F$59,IF(AND(H7&gt;=21,H7&lt;=30),K7*$G$59,K7*$H$59))</f>
        <v>3132</v>
      </c>
      <c r="M7" s="46">
        <f>K7-L7</f>
        <v>66468</v>
      </c>
      <c r="N7" s="47">
        <f>IF(M7&gt;=90000,M7*$F$60,M7*0%)</f>
        <v>0</v>
      </c>
      <c r="O7" s="6">
        <f>IF(M7&lt;=400000,M7*$F$61,M7*0%)</f>
        <v>2326.38</v>
      </c>
      <c r="P7" s="42">
        <f>M7+N7-O7</f>
        <v>64141.62</v>
      </c>
      <c r="Q7" s="42" t="str">
        <f>IF(ISBLANK(A7),"",IF(ISERROR(VLOOKUP(A7,bdpapeleria,11,FALSE)),"El dato no existe",VLOOKUP(A7,bdpapeleria,11,FALSE)))</f>
        <v>CONTADO</v>
      </c>
      <c r="R7" s="42" t="str">
        <f>IF(I7&gt;=15,"Mala Demanda","Buena Demanda")</f>
        <v>Buena Demanda</v>
      </c>
    </row>
    <row r="8" spans="1:18" ht="39" customHeight="1" outlineLevel="1" x14ac:dyDescent="0.25">
      <c r="A8" s="3"/>
      <c r="B8" s="3"/>
      <c r="C8" s="39"/>
      <c r="D8" s="4"/>
      <c r="E8" s="4"/>
      <c r="F8" s="3"/>
      <c r="G8" s="39"/>
      <c r="H8" s="3"/>
      <c r="I8" s="57" t="s">
        <v>166</v>
      </c>
      <c r="J8" s="3"/>
      <c r="K8" s="6"/>
      <c r="L8" s="6"/>
      <c r="M8" s="46">
        <f>SUBTOTAL(9,M7:M7)</f>
        <v>66468</v>
      </c>
      <c r="N8" s="47"/>
      <c r="O8" s="6"/>
      <c r="P8" s="42">
        <f>SUBTOTAL(9,P7:P7)</f>
        <v>64141.62</v>
      </c>
      <c r="Q8" s="42"/>
      <c r="R8" s="42"/>
    </row>
    <row r="9" spans="1:18" ht="40.5" customHeight="1" outlineLevel="2" x14ac:dyDescent="0.25">
      <c r="A9" s="3">
        <v>707</v>
      </c>
      <c r="B9" s="3" t="str">
        <f>IF(ISBLANK(A9),"",IF(ISERROR(VLOOKUP(A9,bdpapeleria,2,FALSE)),"El dato no existe",VLOOKUP(A9,bdpapeleria,2,FALSE)))</f>
        <v>860066098-5</v>
      </c>
      <c r="C9" s="39" t="str">
        <f>IF(ISBLANK(A9),"",IF(ISERROR(VLOOKUP(A9,bdpapeleria,3,FALSE)),"El dato no existe",VLOOKUP(A9,bdpapeleria,3,FALSE)))</f>
        <v>CORPORACIÓN UNVIERSITARIA CENDA</v>
      </c>
      <c r="D9" s="4">
        <f>IF(ISBLANK(A9),"",IF(ISERROR(VLOOKUP(A9,bdpapeleria,4,FALSE)),"El dato no existe",VLOOKUP(A9,bdpapeleria,4,FALSE)))</f>
        <v>3400100</v>
      </c>
      <c r="E9" s="4" t="str">
        <f>IF(ISBLANK(A9),"",IF(ISERROR(VLOOKUP(A9,bdpapeleria,5,FALSE)),"El dato no existe",VLOOKUP(A9,bdpapeleria,5,FALSE)))</f>
        <v>Carrera 14 N° 12-42</v>
      </c>
      <c r="F9" s="3" t="str">
        <f>IF(ISBLANK(A9),"",IF(ISERROR(VLOOKUP(A9,bdpapeleria,6,FALSE)),"El dato no existe",VLOOKUP(A9,bdpapeleria,6,FALSE)))</f>
        <v>Risaralda</v>
      </c>
      <c r="G9" s="39" t="str">
        <f>IF(ISBLANK(A9),"",IF(ISERROR(VLOOKUP(A9,bdpapeleria,7,FALSE)),"El dato no existe",VLOOKUP(A9,bdpapeleria,7,FALSE)))</f>
        <v>VINILOS PRISMACOLOR</v>
      </c>
      <c r="H9" s="3">
        <f>IF(ISBLANK(A9),"",IF(ISERROR(VLOOKUP(A9,bdpapeleria,8,FALSE)),"El dato no existe",VLOOKUP(A9,bdpapeleria,8,FALSE)))</f>
        <v>25</v>
      </c>
      <c r="I9" s="3">
        <f>IF(ISBLANK(A9),"",IF(ISERROR(VLOOKUP(A9,bdpapeleria,9,FALSE)),"El dato no existe",VLOOKUP(A9,bdpapeleria,9,FALSE)))</f>
        <v>3</v>
      </c>
      <c r="J9" s="3">
        <f>IF(ISBLANK(A9),"",IF(ISERROR(VLOOKUP(A9,bdpapeleria,10,FALSE)),"El dato no existe",VLOOKUP(A9,bdpapeleria,10,FALSE)))</f>
        <v>1000</v>
      </c>
      <c r="K9" s="6">
        <f>J9*H9</f>
        <v>25000</v>
      </c>
      <c r="L9" s="6">
        <f>IF(AND(H9&gt;=10,H9&lt;=20),K9*$F$59,IF(AND(H9&gt;=21,H9&lt;=30),K9*$G$59,K9*$H$59))</f>
        <v>1125</v>
      </c>
      <c r="M9" s="46">
        <f>K9-L9</f>
        <v>23875</v>
      </c>
      <c r="N9" s="47">
        <f>IF(M9&gt;=90000,M9*$F$60,M9*0%)</f>
        <v>0</v>
      </c>
      <c r="O9" s="6">
        <f>IF(M9&lt;=400000,M9*$F$61,M9*0%)</f>
        <v>835.62500000000011</v>
      </c>
      <c r="P9" s="42">
        <f>M9+N9-O9</f>
        <v>23039.375</v>
      </c>
      <c r="Q9" s="42" t="str">
        <f>IF(ISBLANK(A9),"",IF(ISERROR(VLOOKUP(A9,bdpapeleria,11,FALSE)),"El dato no existe",VLOOKUP(A9,bdpapeleria,11,FALSE)))</f>
        <v>CONTADO</v>
      </c>
      <c r="R9" s="42" t="str">
        <f>IF(I9&gt;=15,"Mala Demanda","Buena Demanda")</f>
        <v>Buena Demanda</v>
      </c>
    </row>
    <row r="10" spans="1:18" ht="34.5" customHeight="1" outlineLevel="2" x14ac:dyDescent="0.25">
      <c r="A10" s="3">
        <v>720</v>
      </c>
      <c r="B10" s="3" t="str">
        <f>IF(ISBLANK(A10),"",IF(ISERROR(VLOOKUP(A10,bdpapeleria,2,FALSE)),"El dato no existe",VLOOKUP(A10,bdpapeleria,2,FALSE)))</f>
        <v>890212433-5</v>
      </c>
      <c r="C10" s="39" t="str">
        <f>IF(ISBLANK(A10),"",IF(ISERROR(VLOOKUP(A10,bdpapeleria,3,FALSE)),"El dato no existe",VLOOKUP(A10,bdpapeleria,3,FALSE)))</f>
        <v>UNIVERSIDAD TÉCNICO AGRÍCOLA ITA</v>
      </c>
      <c r="D10" s="4">
        <f>IF(ISBLANK(A10),"",IF(ISERROR(VLOOKUP(A10,bdpapeleria,4,FALSE)),"El dato no existe",VLOOKUP(A10,bdpapeleria,4,FALSE)))</f>
        <v>3172267</v>
      </c>
      <c r="E10" s="4" t="str">
        <f>IF(ISBLANK(A10),"",IF(ISERROR(VLOOKUP(A10,bdpapeleria,5,FALSE)),"El dato no existe",VLOOKUP(A10,bdpapeleria,5,FALSE)))</f>
        <v>Carrera 53 N° 59-70</v>
      </c>
      <c r="F10" s="3" t="str">
        <f>IF(ISBLANK(A10),"",IF(ISERROR(VLOOKUP(A10,bdpapeleria,6,FALSE)),"El dato no existe",VLOOKUP(A10,bdpapeleria,6,FALSE)))</f>
        <v>Nariño</v>
      </c>
      <c r="G10" s="39" t="str">
        <f>IF(ISBLANK(A10),"",IF(ISERROR(VLOOKUP(A10,bdpapeleria,7,FALSE)),"El dato no existe",VLOOKUP(A10,bdpapeleria,7,FALSE)))</f>
        <v>CAJA DE LAPICEROS KILOMETRICO X 12 U</v>
      </c>
      <c r="H10" s="3">
        <f>IF(ISBLANK(A10),"",IF(ISERROR(VLOOKUP(A10,bdpapeleria,8,FALSE)),"El dato no existe",VLOOKUP(A10,bdpapeleria,8,FALSE)))</f>
        <v>45</v>
      </c>
      <c r="I10" s="3">
        <f>IF(ISBLANK(A10),"",IF(ISERROR(VLOOKUP(A10,bdpapeleria,9,FALSE)),"El dato no existe",VLOOKUP(A10,bdpapeleria,9,FALSE)))</f>
        <v>3</v>
      </c>
      <c r="J10" s="3">
        <f>IF(ISBLANK(A10),"",IF(ISERROR(VLOOKUP(A10,bdpapeleria,10,FALSE)),"El dato no existe",VLOOKUP(A10,bdpapeleria,10,FALSE)))</f>
        <v>3500</v>
      </c>
      <c r="K10" s="6">
        <f>J10*H10</f>
        <v>157500</v>
      </c>
      <c r="L10" s="6">
        <f>IF(AND(H10&gt;=10,H10&lt;=20),K10*$F$59,IF(AND(H10&gt;=21,H10&lt;=30),K10*$G$59,K10*$H$59))</f>
        <v>7875</v>
      </c>
      <c r="M10" s="46">
        <f>K10-L10</f>
        <v>149625</v>
      </c>
      <c r="N10" s="47">
        <f>IF(M10&gt;=90000,M10*$F$60,M10*0%)</f>
        <v>28428.75</v>
      </c>
      <c r="O10" s="6">
        <f>IF(M10&lt;=400000,M10*$F$61,M10*0%)</f>
        <v>5236.8750000000009</v>
      </c>
      <c r="P10" s="42">
        <f>M10+N10-O10</f>
        <v>172816.875</v>
      </c>
      <c r="Q10" s="42" t="str">
        <f>IF(ISBLANK(A10),"",IF(ISERROR(VLOOKUP(A10,bdpapeleria,11,FALSE)),"El dato no existe",VLOOKUP(A10,bdpapeleria,11,FALSE)))</f>
        <v>CONTADO</v>
      </c>
      <c r="R10" s="42" t="str">
        <f>IF(I10&gt;=15,"Mala Demanda","Buena Demanda")</f>
        <v>Buena Demanda</v>
      </c>
    </row>
    <row r="11" spans="1:18" ht="34.5" customHeight="1" outlineLevel="1" x14ac:dyDescent="0.25">
      <c r="A11" s="3"/>
      <c r="B11" s="3"/>
      <c r="C11" s="39"/>
      <c r="D11" s="4"/>
      <c r="E11" s="4"/>
      <c r="F11" s="3"/>
      <c r="G11" s="39"/>
      <c r="H11" s="3"/>
      <c r="I11" s="57" t="s">
        <v>167</v>
      </c>
      <c r="J11" s="3"/>
      <c r="K11" s="6"/>
      <c r="L11" s="6"/>
      <c r="M11" s="46">
        <f>SUBTOTAL(9,M9:M10)</f>
        <v>173500</v>
      </c>
      <c r="N11" s="47"/>
      <c r="O11" s="6"/>
      <c r="P11" s="42">
        <f>SUBTOTAL(9,P9:P10)</f>
        <v>195856.25</v>
      </c>
      <c r="Q11" s="42"/>
      <c r="R11" s="42"/>
    </row>
    <row r="12" spans="1:18" ht="34.5" customHeight="1" outlineLevel="2" x14ac:dyDescent="0.25">
      <c r="A12" s="3">
        <v>712</v>
      </c>
      <c r="B12" s="3" t="str">
        <f>IF(ISBLANK(A12),"",IF(ISERROR(VLOOKUP(A12,bdpapeleria,2,FALSE)),"El dato no existe",VLOOKUP(A12,bdpapeleria,2,FALSE)))</f>
        <v>860401734-9</v>
      </c>
      <c r="C12" s="39" t="str">
        <f>IF(ISBLANK(A12),"",IF(ISERROR(VLOOKUP(A12,bdpapeleria,3,FALSE)),"El dato no existe",VLOOKUP(A12,bdpapeleria,3,FALSE)))</f>
        <v>UNIVERSIDAD NACIONAL</v>
      </c>
      <c r="D12" s="4">
        <f>IF(ISBLANK(A12),"",IF(ISERROR(VLOOKUP(A12,bdpapeleria,4,FALSE)),"El dato no existe",VLOOKUP(A12,bdpapeleria,4,FALSE)))</f>
        <v>4500040</v>
      </c>
      <c r="E12" s="4" t="str">
        <f>IF(ISBLANK(A12),"",IF(ISERROR(VLOOKUP(A12,bdpapeleria,5,FALSE)),"El dato no existe",VLOOKUP(A12,bdpapeleria,5,FALSE)))</f>
        <v>Calle 48 N° 50-30</v>
      </c>
      <c r="F12" s="3" t="str">
        <f>IF(ISBLANK(A12),"",IF(ISERROR(VLOOKUP(A12,bdpapeleria,6,FALSE)),"El dato no existe",VLOOKUP(A12,bdpapeleria,6,FALSE)))</f>
        <v>Antioquia</v>
      </c>
      <c r="G12" s="39" t="str">
        <f>IF(ISBLANK(A12),"",IF(ISERROR(VLOOKUP(A12,bdpapeleria,7,FALSE)),"El dato no existe",VLOOKUP(A12,bdpapeleria,7,FALSE)))</f>
        <v>ROLLOS PARA IMPRESORA DE CAJA X 6 U.</v>
      </c>
      <c r="H12" s="3">
        <f>IF(ISBLANK(A12),"",IF(ISERROR(VLOOKUP(A12,bdpapeleria,8,FALSE)),"El dato no existe",VLOOKUP(A12,bdpapeleria,8,FALSE)))</f>
        <v>42</v>
      </c>
      <c r="I12" s="3">
        <f>IF(ISBLANK(A12),"",IF(ISERROR(VLOOKUP(A12,bdpapeleria,9,FALSE)),"El dato no existe",VLOOKUP(A12,bdpapeleria,9,FALSE)))</f>
        <v>4</v>
      </c>
      <c r="J12" s="3">
        <f>IF(ISBLANK(A12),"",IF(ISERROR(VLOOKUP(A12,bdpapeleria,10,FALSE)),"El dato no existe",VLOOKUP(A12,bdpapeleria,10,FALSE)))</f>
        <v>7654</v>
      </c>
      <c r="K12" s="6">
        <f>J12*H12</f>
        <v>321468</v>
      </c>
      <c r="L12" s="6">
        <f>IF(AND(H12&gt;=10,H12&lt;=20),K12*$F$59,IF(AND(H12&gt;=21,H12&lt;=30),K12*$G$59,K12*$H$59))</f>
        <v>16073.400000000001</v>
      </c>
      <c r="M12" s="46">
        <f>K12-L12</f>
        <v>305394.59999999998</v>
      </c>
      <c r="N12" s="47">
        <f>IF(M12&gt;=90000,M12*$F$60,M12*0%)</f>
        <v>58024.973999999995</v>
      </c>
      <c r="O12" s="6">
        <f>IF(M12&lt;=400000,M12*$F$61,M12*0%)</f>
        <v>10688.811</v>
      </c>
      <c r="P12" s="42">
        <f>M12+N12-O12</f>
        <v>352730.76299999998</v>
      </c>
      <c r="Q12" s="42" t="str">
        <f>IF(ISBLANK(A12),"",IF(ISERROR(VLOOKUP(A12,bdpapeleria,11,FALSE)),"El dato no existe",VLOOKUP(A12,bdpapeleria,11,FALSE)))</f>
        <v>CONTADO</v>
      </c>
      <c r="R12" s="42" t="str">
        <f>IF(I12&gt;=15,"Mala Demanda","Buena Demanda")</f>
        <v>Buena Demanda</v>
      </c>
    </row>
    <row r="13" spans="1:18" ht="34.5" customHeight="1" outlineLevel="2" x14ac:dyDescent="0.25">
      <c r="A13" s="3">
        <v>713</v>
      </c>
      <c r="B13" s="3" t="str">
        <f>IF(ISBLANK(A13),"",IF(ISERROR(VLOOKUP(A13,bdpapeleria,2,FALSE)),"El dato no existe",VLOOKUP(A13,bdpapeleria,2,FALSE)))</f>
        <v>864366098-5</v>
      </c>
      <c r="C13" s="39" t="str">
        <f>IF(ISBLANK(A13),"",IF(ISERROR(VLOOKUP(A13,bdpapeleria,3,FALSE)),"El dato no existe",VLOOKUP(A13,bdpapeleria,3,FALSE)))</f>
        <v xml:space="preserve">FUNDACIÓN UNIVERSITARIA AUTONOMA </v>
      </c>
      <c r="D13" s="4">
        <f>IF(ISBLANK(A13),"",IF(ISERROR(VLOOKUP(A13,bdpapeleria,4,FALSE)),"El dato no existe",VLOOKUP(A13,bdpapeleria,4,FALSE)))</f>
        <v>3078180</v>
      </c>
      <c r="E13" s="4" t="str">
        <f>IF(ISBLANK(A13),"",IF(ISERROR(VLOOKUP(A13,bdpapeleria,5,FALSE)),"El dato no existe",VLOOKUP(A13,bdpapeleria,5,FALSE)))</f>
        <v>Calle 34 N° 15-36</v>
      </c>
      <c r="F13" s="3" t="str">
        <f>IF(ISBLANK(A13),"",IF(ISERROR(VLOOKUP(A13,bdpapeleria,6,FALSE)),"El dato no existe",VLOOKUP(A13,bdpapeleria,6,FALSE)))</f>
        <v>Risaralda</v>
      </c>
      <c r="G13" s="39" t="str">
        <f>IF(ISBLANK(A13),"",IF(ISERROR(VLOOKUP(A13,bdpapeleria,7,FALSE)),"El dato no existe",VLOOKUP(A13,bdpapeleria,7,FALSE)))</f>
        <v>ROLLOS PARA IMPRESORA DE CAJA X 6 U.</v>
      </c>
      <c r="H13" s="3">
        <f>IF(ISBLANK(A13),"",IF(ISERROR(VLOOKUP(A13,bdpapeleria,8,FALSE)),"El dato no existe",VLOOKUP(A13,bdpapeleria,8,FALSE)))</f>
        <v>20</v>
      </c>
      <c r="I13" s="3">
        <f>IF(ISBLANK(A13),"",IF(ISERROR(VLOOKUP(A13,bdpapeleria,9,FALSE)),"El dato no existe",VLOOKUP(A13,bdpapeleria,9,FALSE)))</f>
        <v>4</v>
      </c>
      <c r="J13" s="3">
        <f>IF(ISBLANK(A13),"",IF(ISERROR(VLOOKUP(A13,bdpapeleria,10,FALSE)),"El dato no existe",VLOOKUP(A13,bdpapeleria,10,FALSE)))</f>
        <v>7654</v>
      </c>
      <c r="K13" s="6">
        <f>J13*H13</f>
        <v>153080</v>
      </c>
      <c r="L13" s="6">
        <f>IF(AND(H13&gt;=10,H13&lt;=20),K13*$F$59,IF(AND(H13&gt;=21,H13&lt;=30),K13*$G$59,K13*$H$59))</f>
        <v>4592.3999999999996</v>
      </c>
      <c r="M13" s="46">
        <f>K13-L13</f>
        <v>148487.6</v>
      </c>
      <c r="N13" s="47">
        <f>IF(M13&gt;=90000,M13*$F$60,M13*0%)</f>
        <v>28212.644</v>
      </c>
      <c r="O13" s="6">
        <f>IF(M13&lt;=400000,M13*$F$61,M13*0%)</f>
        <v>5197.0660000000007</v>
      </c>
      <c r="P13" s="42">
        <f>M13+N13-O13</f>
        <v>171503.17800000001</v>
      </c>
      <c r="Q13" s="42" t="str">
        <f>IF(ISBLANK(A13),"",IF(ISERROR(VLOOKUP(A13,bdpapeleria,11,FALSE)),"El dato no existe",VLOOKUP(A13,bdpapeleria,11,FALSE)))</f>
        <v>CRÉDITO</v>
      </c>
      <c r="R13" s="42" t="str">
        <f>IF(I13&gt;=15,"Mala Demanda","Buena Demanda")</f>
        <v>Buena Demanda</v>
      </c>
    </row>
    <row r="14" spans="1:18" ht="34.5" customHeight="1" outlineLevel="2" x14ac:dyDescent="0.25">
      <c r="A14" s="3">
        <v>726</v>
      </c>
      <c r="B14" s="3" t="str">
        <f>IF(ISBLANK(A14),"",IF(ISERROR(VLOOKUP(A14,bdpapeleria,2,FALSE)),"El dato no existe",VLOOKUP(A14,bdpapeleria,2,FALSE)))</f>
        <v>891204706-2</v>
      </c>
      <c r="C14" s="39" t="str">
        <f>IF(ISBLANK(A14),"",IF(ISERROR(VLOOKUP(A14,bdpapeleria,3,FALSE)),"El dato no existe",VLOOKUP(A14,bdpapeleria,3,FALSE)))</f>
        <v>UNIVERSIDAD DE LOS ANDES</v>
      </c>
      <c r="D14" s="4">
        <f>IF(ISBLANK(A14),"",IF(ISERROR(VLOOKUP(A14,bdpapeleria,4,FALSE)),"El dato no existe",VLOOKUP(A14,bdpapeleria,4,FALSE)))</f>
        <v>2916520</v>
      </c>
      <c r="E14" s="4" t="str">
        <f>IF(ISBLANK(A14),"",IF(ISERROR(VLOOKUP(A14,bdpapeleria,5,FALSE)),"El dato no existe",VLOOKUP(A14,bdpapeleria,5,FALSE)))</f>
        <v>Calle 81 B N° 79-155</v>
      </c>
      <c r="F14" s="3" t="str">
        <f>IF(ISBLANK(A14),"",IF(ISERROR(VLOOKUP(A14,bdpapeleria,6,FALSE)),"El dato no existe",VLOOKUP(A14,bdpapeleria,6,FALSE)))</f>
        <v>Cundinamarca</v>
      </c>
      <c r="G14" s="39" t="str">
        <f>IF(ISBLANK(A14),"",IF(ISERROR(VLOOKUP(A14,bdpapeleria,7,FALSE)),"El dato no existe",VLOOKUP(A14,bdpapeleria,7,FALSE)))</f>
        <v xml:space="preserve">CRAYOLAS </v>
      </c>
      <c r="H14" s="3">
        <f>IF(ISBLANK(A14),"",IF(ISERROR(VLOOKUP(A14,bdpapeleria,8,FALSE)),"El dato no existe",VLOOKUP(A14,bdpapeleria,8,FALSE)))</f>
        <v>41</v>
      </c>
      <c r="I14" s="3">
        <f>IF(ISBLANK(A14),"",IF(ISERROR(VLOOKUP(A14,bdpapeleria,9,FALSE)),"El dato no existe",VLOOKUP(A14,bdpapeleria,9,FALSE)))</f>
        <v>4</v>
      </c>
      <c r="J14" s="3">
        <f>IF(ISBLANK(A14),"",IF(ISERROR(VLOOKUP(A14,bdpapeleria,10,FALSE)),"El dato no existe",VLOOKUP(A14,bdpapeleria,10,FALSE)))</f>
        <v>1000</v>
      </c>
      <c r="K14" s="6">
        <f>J14*H14</f>
        <v>41000</v>
      </c>
      <c r="L14" s="6">
        <f>IF(AND(H14&gt;=10,H14&lt;=20),K14*$F$59,IF(AND(H14&gt;=21,H14&lt;=30),K14*$G$59,K14*$H$59))</f>
        <v>2050</v>
      </c>
      <c r="M14" s="46">
        <f>K14-L14</f>
        <v>38950</v>
      </c>
      <c r="N14" s="47">
        <f>IF(M14&gt;=90000,M14*$F$60,M14*0%)</f>
        <v>0</v>
      </c>
      <c r="O14" s="6">
        <f>IF(M14&lt;=400000,M14*$F$61,M14*0%)</f>
        <v>1363.2500000000002</v>
      </c>
      <c r="P14" s="42">
        <f>M14+N14-O14</f>
        <v>37586.75</v>
      </c>
      <c r="Q14" s="42" t="str">
        <f>IF(ISBLANK(A14),"",IF(ISERROR(VLOOKUP(A14,bdpapeleria,11,FALSE)),"El dato no existe",VLOOKUP(A14,bdpapeleria,11,FALSE)))</f>
        <v>CONTADO</v>
      </c>
      <c r="R14" s="42" t="str">
        <f>IF(I14&gt;=15,"Mala Demanda","Buena Demanda")</f>
        <v>Buena Demanda</v>
      </c>
    </row>
    <row r="15" spans="1:18" ht="34.5" customHeight="1" outlineLevel="1" x14ac:dyDescent="0.25">
      <c r="A15" s="3"/>
      <c r="B15" s="3"/>
      <c r="C15" s="39"/>
      <c r="D15" s="4"/>
      <c r="E15" s="4"/>
      <c r="F15" s="3"/>
      <c r="G15" s="39"/>
      <c r="H15" s="3"/>
      <c r="I15" s="57" t="s">
        <v>168</v>
      </c>
      <c r="J15" s="3"/>
      <c r="K15" s="6"/>
      <c r="L15" s="6"/>
      <c r="M15" s="46">
        <f>SUBTOTAL(9,M12:M14)</f>
        <v>492832.19999999995</v>
      </c>
      <c r="N15" s="47"/>
      <c r="O15" s="6"/>
      <c r="P15" s="42">
        <f>SUBTOTAL(9,P12:P14)</f>
        <v>561820.69099999999</v>
      </c>
      <c r="Q15" s="42"/>
      <c r="R15" s="42"/>
    </row>
    <row r="16" spans="1:18" ht="34.5" customHeight="1" outlineLevel="2" x14ac:dyDescent="0.25">
      <c r="A16" s="3">
        <v>706</v>
      </c>
      <c r="B16" s="3" t="str">
        <f>IF(ISBLANK(A16),"",IF(ISERROR(VLOOKUP(A16,bdpapeleria,2,FALSE)),"El dato no existe",VLOOKUP(A16,bdpapeleria,2,FALSE)))</f>
        <v>891408248-5</v>
      </c>
      <c r="C16" s="39" t="str">
        <f>IF(ISBLANK(A16),"",IF(ISERROR(VLOOKUP(A16,bdpapeleria,3,FALSE)),"El dato no existe",VLOOKUP(A16,bdpapeleria,3,FALSE)))</f>
        <v>CORPORACIÓN JOHN F.KENNEDY</v>
      </c>
      <c r="D16" s="4">
        <f>IF(ISBLANK(A16),"",IF(ISERROR(VLOOKUP(A16,bdpapeleria,4,FALSE)),"El dato no existe",VLOOKUP(A16,bdpapeleria,4,FALSE)))</f>
        <v>6505400</v>
      </c>
      <c r="E16" s="4" t="str">
        <f>IF(ISBLANK(A16),"",IF(ISERROR(VLOOKUP(A16,bdpapeleria,5,FALSE)),"El dato no existe",VLOOKUP(A16,bdpapeleria,5,FALSE)))</f>
        <v>Calle 74 N° 11-92</v>
      </c>
      <c r="F16" s="3" t="str">
        <f>IF(ISBLANK(A16),"",IF(ISERROR(VLOOKUP(A16,bdpapeleria,6,FALSE)),"El dato no existe",VLOOKUP(A16,bdpapeleria,6,FALSE)))</f>
        <v>Cundinamarca</v>
      </c>
      <c r="G16" s="39" t="str">
        <f>IF(ISBLANK(A16),"",IF(ISERROR(VLOOKUP(A16,bdpapeleria,7,FALSE)),"El dato no existe",VLOOKUP(A16,bdpapeleria,7,FALSE)))</f>
        <v>CAJA DE COLORES NORMA</v>
      </c>
      <c r="H16" s="3">
        <f>IF(ISBLANK(A16),"",IF(ISERROR(VLOOKUP(A16,bdpapeleria,8,FALSE)),"El dato no existe",VLOOKUP(A16,bdpapeleria,8,FALSE)))</f>
        <v>12</v>
      </c>
      <c r="I16" s="3">
        <f>IF(ISBLANK(A16),"",IF(ISERROR(VLOOKUP(A16,bdpapeleria,9,FALSE)),"El dato no existe",VLOOKUP(A16,bdpapeleria,9,FALSE)))</f>
        <v>5</v>
      </c>
      <c r="J16" s="3">
        <f>IF(ISBLANK(A16),"",IF(ISERROR(VLOOKUP(A16,bdpapeleria,10,FALSE)),"El dato no existe",VLOOKUP(A16,bdpapeleria,10,FALSE)))</f>
        <v>9500</v>
      </c>
      <c r="K16" s="6">
        <f>J16*H16</f>
        <v>114000</v>
      </c>
      <c r="L16" s="6">
        <f>IF(AND(H16&gt;=10,H16&lt;=20),K16*$F$59,IF(AND(H16&gt;=21,H16&lt;=30),K16*$G$59,K16*$H$59))</f>
        <v>3420</v>
      </c>
      <c r="M16" s="46">
        <f>K16-L16</f>
        <v>110580</v>
      </c>
      <c r="N16" s="47">
        <f>IF(M16&gt;=90000,M16*$F$60,M16*0%)</f>
        <v>21010.2</v>
      </c>
      <c r="O16" s="6">
        <f>IF(M16&lt;=400000,M16*$F$61,M16*0%)</f>
        <v>3870.3</v>
      </c>
      <c r="P16" s="42">
        <f>M16+N16-O16</f>
        <v>127719.90000000001</v>
      </c>
      <c r="Q16" s="42" t="str">
        <f>IF(ISBLANK(A16),"",IF(ISERROR(VLOOKUP(A16,bdpapeleria,11,FALSE)),"El dato no existe",VLOOKUP(A16,bdpapeleria,11,FALSE)))</f>
        <v>CONTADO</v>
      </c>
      <c r="R16" s="42" t="str">
        <f>IF(I16&gt;=15,"Mala Demanda","Buena Demanda")</f>
        <v>Buena Demanda</v>
      </c>
    </row>
    <row r="17" spans="1:18" ht="34.5" customHeight="1" outlineLevel="2" x14ac:dyDescent="0.25">
      <c r="A17" s="3">
        <v>719</v>
      </c>
      <c r="B17" s="3" t="str">
        <f>IF(ISBLANK(A17),"",IF(ISERROR(VLOOKUP(A17,bdpapeleria,2,FALSE)),"El dato no existe",VLOOKUP(A17,bdpapeleria,2,FALSE)))</f>
        <v>890310903-5</v>
      </c>
      <c r="C17" s="39" t="str">
        <f>IF(ISBLANK(A17),"",IF(ISERROR(VLOOKUP(A17,bdpapeleria,3,FALSE)),"El dato no existe",VLOOKUP(A17,bdpapeleria,3,FALSE)))</f>
        <v>UNIVERSIDAD DE ANTIOQUIA</v>
      </c>
      <c r="D17" s="4">
        <f>IF(ISBLANK(A17),"",IF(ISERROR(VLOOKUP(A17,bdpapeleria,4,FALSE)),"El dato no existe",VLOOKUP(A17,bdpapeleria,4,FALSE)))</f>
        <v>8213000</v>
      </c>
      <c r="E17" s="4" t="str">
        <f>IF(ISBLANK(A17),"",IF(ISERROR(VLOOKUP(A17,bdpapeleria,5,FALSE)),"El dato no existe",VLOOKUP(A17,bdpapeleria,5,FALSE)))</f>
        <v>Calle 5 N° 3-85</v>
      </c>
      <c r="F17" s="3" t="str">
        <f>IF(ISBLANK(A17),"",IF(ISERROR(VLOOKUP(A17,bdpapeleria,6,FALSE)),"El dato no existe",VLOOKUP(A17,bdpapeleria,6,FALSE)))</f>
        <v>Antioquia</v>
      </c>
      <c r="G17" s="39" t="str">
        <f>IF(ISBLANK(A17),"",IF(ISERROR(VLOOKUP(A17,bdpapeleria,7,FALSE)),"El dato no existe",VLOOKUP(A17,bdpapeleria,7,FALSE)))</f>
        <v>BLOCK TAMAÑO CARTA</v>
      </c>
      <c r="H17" s="3">
        <f>IF(ISBLANK(A17),"",IF(ISERROR(VLOOKUP(A17,bdpapeleria,8,FALSE)),"El dato no existe",VLOOKUP(A17,bdpapeleria,8,FALSE)))</f>
        <v>30</v>
      </c>
      <c r="I17" s="3">
        <f>IF(ISBLANK(A17),"",IF(ISERROR(VLOOKUP(A17,bdpapeleria,9,FALSE)),"El dato no existe",VLOOKUP(A17,bdpapeleria,9,FALSE)))</f>
        <v>5</v>
      </c>
      <c r="J17" s="3">
        <f>IF(ISBLANK(A17),"",IF(ISERROR(VLOOKUP(A17,bdpapeleria,10,FALSE)),"El dato no existe",VLOOKUP(A17,bdpapeleria,10,FALSE)))</f>
        <v>2400</v>
      </c>
      <c r="K17" s="6">
        <f>J17*H17</f>
        <v>72000</v>
      </c>
      <c r="L17" s="6">
        <f>IF(AND(H17&gt;=10,H17&lt;=20),K17*$F$59,IF(AND(H17&gt;=21,H17&lt;=30),K17*$G$59,K17*$H$59))</f>
        <v>3240</v>
      </c>
      <c r="M17" s="46">
        <f>K17-L17</f>
        <v>68760</v>
      </c>
      <c r="N17" s="47">
        <f>IF(M17&gt;=90000,M17*$F$60,M17*0%)</f>
        <v>0</v>
      </c>
      <c r="O17" s="6">
        <f>IF(M17&lt;=400000,M17*$F$61,M17*0%)</f>
        <v>2406.6000000000004</v>
      </c>
      <c r="P17" s="42">
        <f>M17+N17-O17</f>
        <v>66353.399999999994</v>
      </c>
      <c r="Q17" s="42" t="str">
        <f>IF(ISBLANK(A17),"",IF(ISERROR(VLOOKUP(A17,bdpapeleria,11,FALSE)),"El dato no existe",VLOOKUP(A17,bdpapeleria,11,FALSE)))</f>
        <v>CRÉDITO</v>
      </c>
      <c r="R17" s="42" t="str">
        <f>IF(I17&gt;=15,"Mala Demanda","Buena Demanda")</f>
        <v>Buena Demanda</v>
      </c>
    </row>
    <row r="18" spans="1:18" ht="34.5" customHeight="1" outlineLevel="2" x14ac:dyDescent="0.25">
      <c r="A18" s="3">
        <v>728</v>
      </c>
      <c r="B18" s="3" t="str">
        <f>IF(ISBLANK(A18),"",IF(ISERROR(VLOOKUP(A18,bdpapeleria,2,FALSE)),"El dato no existe",VLOOKUP(A18,bdpapeleria,2,FALSE)))</f>
        <v>860503837-7</v>
      </c>
      <c r="C18" s="39" t="str">
        <f>IF(ISBLANK(A18),"",IF(ISERROR(VLOOKUP(A18,bdpapeleria,3,FALSE)),"El dato no existe",VLOOKUP(A18,bdpapeleria,3,FALSE)))</f>
        <v>UNIPANAMERICANA</v>
      </c>
      <c r="D18" s="4">
        <f>IF(ISBLANK(A18),"",IF(ISERROR(VLOOKUP(A18,bdpapeleria,4,FALSE)),"El dato no existe",VLOOKUP(A18,bdpapeleria,4,FALSE)))</f>
        <v>7434343</v>
      </c>
      <c r="E18" s="4" t="str">
        <f>IF(ISBLANK(A18),"",IF(ISERROR(VLOOKUP(A18,bdpapeleria,5,FALSE)),"El dato no existe",VLOOKUP(A18,bdpapeleria,5,FALSE)))</f>
        <v>Calle 76 N° 12-58</v>
      </c>
      <c r="F18" s="3" t="str">
        <f>IF(ISBLANK(A18),"",IF(ISERROR(VLOOKUP(A18,bdpapeleria,6,FALSE)),"El dato no existe",VLOOKUP(A18,bdpapeleria,6,FALSE)))</f>
        <v>Risaralda</v>
      </c>
      <c r="G18" s="39" t="str">
        <f>IF(ISBLANK(A18),"",IF(ISERROR(VLOOKUP(A18,bdpapeleria,7,FALSE)),"El dato no existe",VLOOKUP(A18,bdpapeleria,7,FALSE)))</f>
        <v xml:space="preserve">CRAYOLAS </v>
      </c>
      <c r="H18" s="3">
        <f>IF(ISBLANK(A18),"",IF(ISERROR(VLOOKUP(A18,bdpapeleria,8,FALSE)),"El dato no existe",VLOOKUP(A18,bdpapeleria,8,FALSE)))</f>
        <v>22</v>
      </c>
      <c r="I18" s="3">
        <f>IF(ISBLANK(A18),"",IF(ISERROR(VLOOKUP(A18,bdpapeleria,9,FALSE)),"El dato no existe",VLOOKUP(A18,bdpapeleria,9,FALSE)))</f>
        <v>5</v>
      </c>
      <c r="J18" s="3">
        <f>IF(ISBLANK(A18),"",IF(ISERROR(VLOOKUP(A18,bdpapeleria,10,FALSE)),"El dato no existe",VLOOKUP(A18,bdpapeleria,10,FALSE)))</f>
        <v>1000</v>
      </c>
      <c r="K18" s="6">
        <f>J18*H18</f>
        <v>22000</v>
      </c>
      <c r="L18" s="6">
        <f>IF(AND(H18&gt;=10,H18&lt;=20),K18*$F$59,IF(AND(H18&gt;=21,H18&lt;=30),K18*$G$59,K18*$H$59))</f>
        <v>990</v>
      </c>
      <c r="M18" s="46">
        <f>K18-L18</f>
        <v>21010</v>
      </c>
      <c r="N18" s="47">
        <f>IF(M18&gt;=90000,M18*$F$60,M18*0%)</f>
        <v>0</v>
      </c>
      <c r="O18" s="6">
        <f>IF(M18&lt;=400000,M18*$F$61,M18*0%)</f>
        <v>735.35</v>
      </c>
      <c r="P18" s="42">
        <f>M18+N18-O18</f>
        <v>20274.650000000001</v>
      </c>
      <c r="Q18" s="42" t="str">
        <f>IF(ISBLANK(A18),"",IF(ISERROR(VLOOKUP(A18,bdpapeleria,11,FALSE)),"El dato no existe",VLOOKUP(A18,bdpapeleria,11,FALSE)))</f>
        <v>CRÉDITO</v>
      </c>
      <c r="R18" s="42" t="str">
        <f>IF(I18&gt;=15,"Mala Demanda","Buena Demanda")</f>
        <v>Buena Demanda</v>
      </c>
    </row>
    <row r="19" spans="1:18" ht="34.5" customHeight="1" outlineLevel="1" x14ac:dyDescent="0.25">
      <c r="A19" s="3"/>
      <c r="B19" s="3"/>
      <c r="C19" s="39"/>
      <c r="D19" s="4"/>
      <c r="E19" s="4"/>
      <c r="F19" s="3"/>
      <c r="G19" s="39"/>
      <c r="H19" s="3"/>
      <c r="I19" s="57" t="s">
        <v>169</v>
      </c>
      <c r="J19" s="3"/>
      <c r="K19" s="6"/>
      <c r="L19" s="6"/>
      <c r="M19" s="46">
        <f>SUBTOTAL(9,M16:M18)</f>
        <v>200350</v>
      </c>
      <c r="N19" s="47"/>
      <c r="O19" s="6"/>
      <c r="P19" s="42">
        <f>SUBTOTAL(9,P16:P18)</f>
        <v>214347.94999999998</v>
      </c>
      <c r="Q19" s="42"/>
      <c r="R19" s="42"/>
    </row>
    <row r="20" spans="1:18" ht="34.5" customHeight="1" outlineLevel="2" x14ac:dyDescent="0.25">
      <c r="A20" s="3">
        <v>710</v>
      </c>
      <c r="B20" s="3" t="str">
        <f>IF(ISBLANK(A20),"",IF(ISERROR(VLOOKUP(A20,bdpapeleria,2,FALSE)),"El dato no existe",VLOOKUP(A20,bdpapeleria,2,FALSE)))</f>
        <v>890985856-3</v>
      </c>
      <c r="C20" s="39" t="str">
        <f>IF(ISBLANK(A20),"",IF(ISERROR(VLOOKUP(A20,bdpapeleria,3,FALSE)),"El dato no existe",VLOOKUP(A20,bdpapeleria,3,FALSE)))</f>
        <v>ESCUELA COLOMBIANA DE  INGENIERIA</v>
      </c>
      <c r="D20" s="4">
        <f>IF(ISBLANK(A20),"",IF(ISERROR(VLOOKUP(A20,bdpapeleria,4,FALSE)),"El dato no existe",VLOOKUP(A20,bdpapeleria,4,FALSE)))</f>
        <v>2451333</v>
      </c>
      <c r="E20" s="4" t="str">
        <f>IF(ISBLANK(A20),"",IF(ISERROR(VLOOKUP(A20,bdpapeleria,5,FALSE)),"El dato no existe",VLOOKUP(A20,bdpapeleria,5,FALSE)))</f>
        <v>Calle 46 N° 13-43</v>
      </c>
      <c r="F20" s="3" t="str">
        <f>IF(ISBLANK(A20),"",IF(ISERROR(VLOOKUP(A20,bdpapeleria,6,FALSE)),"El dato no existe",VLOOKUP(A20,bdpapeleria,6,FALSE)))</f>
        <v>Valle del Cauca</v>
      </c>
      <c r="G20" s="39" t="str">
        <f>IF(ISBLANK(A20),"",IF(ISERROR(VLOOKUP(A20,bdpapeleria,7,FALSE)),"El dato no existe",VLOOKUP(A20,bdpapeleria,7,FALSE)))</f>
        <v xml:space="preserve">CAJA DE RESMAS TAMAÑO OFICIO </v>
      </c>
      <c r="H20" s="3">
        <f>IF(ISBLANK(A20),"",IF(ISERROR(VLOOKUP(A20,bdpapeleria,8,FALSE)),"El dato no existe",VLOOKUP(A20,bdpapeleria,8,FALSE)))</f>
        <v>35</v>
      </c>
      <c r="I20" s="3">
        <f>IF(ISBLANK(A20),"",IF(ISERROR(VLOOKUP(A20,bdpapeleria,9,FALSE)),"El dato no existe",VLOOKUP(A20,bdpapeleria,9,FALSE)))</f>
        <v>6</v>
      </c>
      <c r="J20" s="3">
        <f>IF(ISBLANK(A20),"",IF(ISERROR(VLOOKUP(A20,bdpapeleria,10,FALSE)),"El dato no existe",VLOOKUP(A20,bdpapeleria,10,FALSE)))</f>
        <v>34890</v>
      </c>
      <c r="K20" s="6">
        <f>J20*H20</f>
        <v>1221150</v>
      </c>
      <c r="L20" s="6">
        <f>IF(AND(H20&gt;=10,H20&lt;=20),K20*$F$59,IF(AND(H20&gt;=21,H20&lt;=30),K20*$G$59,K20*$H$59))</f>
        <v>61057.5</v>
      </c>
      <c r="M20" s="46">
        <f>K20-L20</f>
        <v>1160092.5</v>
      </c>
      <c r="N20" s="47">
        <f>IF(M20&gt;=90000,M20*$F$60,M20*0%)</f>
        <v>220417.57500000001</v>
      </c>
      <c r="O20" s="6">
        <f>IF(M20&lt;=400000,M20*$F$61,M20*0%)</f>
        <v>0</v>
      </c>
      <c r="P20" s="42">
        <f>M20+N20-O20</f>
        <v>1380510.075</v>
      </c>
      <c r="Q20" s="42" t="str">
        <f>IF(ISBLANK(A20),"",IF(ISERROR(VLOOKUP(A20,bdpapeleria,11,FALSE)),"El dato no existe",VLOOKUP(A20,bdpapeleria,11,FALSE)))</f>
        <v>CRÉDITO</v>
      </c>
      <c r="R20" s="42" t="str">
        <f>IF(I20&gt;=15,"Mala Demanda","Buena Demanda")</f>
        <v>Buena Demanda</v>
      </c>
    </row>
    <row r="21" spans="1:18" ht="34.5" customHeight="1" outlineLevel="1" x14ac:dyDescent="0.25">
      <c r="A21" s="3"/>
      <c r="B21" s="3"/>
      <c r="C21" s="39"/>
      <c r="D21" s="4"/>
      <c r="E21" s="4"/>
      <c r="F21" s="3"/>
      <c r="G21" s="39"/>
      <c r="H21" s="3"/>
      <c r="I21" s="57" t="s">
        <v>170</v>
      </c>
      <c r="J21" s="3"/>
      <c r="K21" s="6"/>
      <c r="L21" s="6"/>
      <c r="M21" s="46">
        <f>SUBTOTAL(9,M20:M20)</f>
        <v>1160092.5</v>
      </c>
      <c r="N21" s="47"/>
      <c r="O21" s="6"/>
      <c r="P21" s="42">
        <f>SUBTOTAL(9,P20:P20)</f>
        <v>1380510.075</v>
      </c>
      <c r="Q21" s="42"/>
      <c r="R21" s="42"/>
    </row>
    <row r="22" spans="1:18" ht="34.5" customHeight="1" outlineLevel="2" x14ac:dyDescent="0.25">
      <c r="A22" s="3">
        <v>716</v>
      </c>
      <c r="B22" s="3" t="str">
        <f>IF(ISBLANK(A22),"",IF(ISERROR(VLOOKUP(A22,bdpapeleria,2,FALSE)),"El dato no existe",VLOOKUP(A22,bdpapeleria,2,FALSE)))</f>
        <v>891995856-3</v>
      </c>
      <c r="C22" s="39" t="str">
        <f>IF(ISBLANK(A22),"",IF(ISERROR(VLOOKUP(A22,bdpapeleria,3,FALSE)),"El dato no existe",VLOOKUP(A22,bdpapeleria,3,FALSE)))</f>
        <v>FUNDACIÓN UNIVERSITARIA SAN MARTIN</v>
      </c>
      <c r="D22" s="4">
        <f>IF(ISBLANK(A22),"",IF(ISERROR(VLOOKUP(A22,bdpapeleria,4,FALSE)),"El dato no existe",VLOOKUP(A22,bdpapeleria,4,FALSE)))</f>
        <v>7232452</v>
      </c>
      <c r="E22" s="4" t="str">
        <f>IF(ISBLANK(A22),"",IF(ISERROR(VLOOKUP(A22,bdpapeleria,5,FALSE)),"El dato no existe",VLOOKUP(A22,bdpapeleria,5,FALSE)))</f>
        <v>Carrera 28 N° 19-24</v>
      </c>
      <c r="F22" s="3" t="str">
        <f>IF(ISBLANK(A22),"",IF(ISERROR(VLOOKUP(A22,bdpapeleria,6,FALSE)),"El dato no existe",VLOOKUP(A22,bdpapeleria,6,FALSE)))</f>
        <v>Cundinamarca</v>
      </c>
      <c r="G22" s="39" t="str">
        <f>IF(ISBLANK(A22),"",IF(ISERROR(VLOOKUP(A22,bdpapeleria,7,FALSE)),"El dato no existe",VLOOKUP(A22,bdpapeleria,7,FALSE)))</f>
        <v>BLOCK TAMAÑO CARTA</v>
      </c>
      <c r="H22" s="3">
        <f>IF(ISBLANK(A22),"",IF(ISERROR(VLOOKUP(A22,bdpapeleria,8,FALSE)),"El dato no existe",VLOOKUP(A22,bdpapeleria,8,FALSE)))</f>
        <v>25</v>
      </c>
      <c r="I22" s="3">
        <f>IF(ISBLANK(A22),"",IF(ISERROR(VLOOKUP(A22,bdpapeleria,9,FALSE)),"El dato no existe",VLOOKUP(A22,bdpapeleria,9,FALSE)))</f>
        <v>7</v>
      </c>
      <c r="J22" s="3">
        <f>IF(ISBLANK(A22),"",IF(ISERROR(VLOOKUP(A22,bdpapeleria,10,FALSE)),"El dato no existe",VLOOKUP(A22,bdpapeleria,10,FALSE)))</f>
        <v>2400</v>
      </c>
      <c r="K22" s="6">
        <f>J22*H22</f>
        <v>60000</v>
      </c>
      <c r="L22" s="6">
        <f>IF(AND(H22&gt;=10,H22&lt;=20),K22*$F$59,IF(AND(H22&gt;=21,H22&lt;=30),K22*$G$59,K22*$H$59))</f>
        <v>2700</v>
      </c>
      <c r="M22" s="46">
        <f>K22-L22</f>
        <v>57300</v>
      </c>
      <c r="N22" s="47">
        <f>IF(M22&gt;=90000,M22*$F$60,M22*0%)</f>
        <v>0</v>
      </c>
      <c r="O22" s="6">
        <f>IF(M22&lt;=400000,M22*$F$61,M22*0%)</f>
        <v>2005.5000000000002</v>
      </c>
      <c r="P22" s="42">
        <f>M22+N22-O22</f>
        <v>55294.5</v>
      </c>
      <c r="Q22" s="42" t="str">
        <f>IF(ISBLANK(A22),"",IF(ISERROR(VLOOKUP(A22,bdpapeleria,11,FALSE)),"El dato no existe",VLOOKUP(A22,bdpapeleria,11,FALSE)))</f>
        <v>CONTADO</v>
      </c>
      <c r="R22" s="42" t="str">
        <f>IF(I22&gt;=15,"Mala Demanda","Buena Demanda")</f>
        <v>Buena Demanda</v>
      </c>
    </row>
    <row r="23" spans="1:18" ht="34.5" customHeight="1" outlineLevel="2" x14ac:dyDescent="0.25">
      <c r="A23" s="3">
        <v>727</v>
      </c>
      <c r="B23" s="3" t="str">
        <f>IF(ISBLANK(A23),"",IF(ISERROR(VLOOKUP(A23,bdpapeleria,2,FALSE)),"El dato no existe",VLOOKUP(A23,bdpapeleria,2,FALSE)))</f>
        <v>893500248-9</v>
      </c>
      <c r="C23" s="39" t="str">
        <f>IF(ISBLANK(A23),"",IF(ISERROR(VLOOKUP(A23,bdpapeleria,3,FALSE)),"El dato no existe",VLOOKUP(A23,bdpapeleria,3,FALSE)))</f>
        <v>UNIVERSIDAD AUTONOMA DE OCCIDENTE</v>
      </c>
      <c r="D23" s="4">
        <f>IF(ISBLANK(A23),"",IF(ISERROR(VLOOKUP(A23,bdpapeleria,4,FALSE)),"El dato no existe",VLOOKUP(A23,bdpapeleria,4,FALSE)))</f>
        <v>5132100</v>
      </c>
      <c r="E23" s="4" t="str">
        <f>IF(ISBLANK(A23),"",IF(ISERROR(VLOOKUP(A23,bdpapeleria,5,FALSE)),"El dato no existe",VLOOKUP(A23,bdpapeleria,5,FALSE)))</f>
        <v>Calle 51 N° 72 A-70</v>
      </c>
      <c r="F23" s="3" t="str">
        <f>IF(ISBLANK(A23),"",IF(ISERROR(VLOOKUP(A23,bdpapeleria,6,FALSE)),"El dato no existe",VLOOKUP(A23,bdpapeleria,6,FALSE)))</f>
        <v>Cundinamarca</v>
      </c>
      <c r="G23" s="39" t="str">
        <f>IF(ISBLANK(A23),"",IF(ISERROR(VLOOKUP(A23,bdpapeleria,7,FALSE)),"El dato no existe",VLOOKUP(A23,bdpapeleria,7,FALSE)))</f>
        <v>CAJA DE COLORES NORMA</v>
      </c>
      <c r="H23" s="3">
        <f>IF(ISBLANK(A23),"",IF(ISERROR(VLOOKUP(A23,bdpapeleria,8,FALSE)),"El dato no existe",VLOOKUP(A23,bdpapeleria,8,FALSE)))</f>
        <v>43</v>
      </c>
      <c r="I23" s="3">
        <f>IF(ISBLANK(A23),"",IF(ISERROR(VLOOKUP(A23,bdpapeleria,9,FALSE)),"El dato no existe",VLOOKUP(A23,bdpapeleria,9,FALSE)))</f>
        <v>7</v>
      </c>
      <c r="J23" s="3">
        <f>IF(ISBLANK(A23),"",IF(ISERROR(VLOOKUP(A23,bdpapeleria,10,FALSE)),"El dato no existe",VLOOKUP(A23,bdpapeleria,10,FALSE)))</f>
        <v>9500</v>
      </c>
      <c r="K23" s="6">
        <f>J23*H23</f>
        <v>408500</v>
      </c>
      <c r="L23" s="6">
        <f>IF(AND(H23&gt;=10,H23&lt;=20),K23*$F$59,IF(AND(H23&gt;=21,H23&lt;=30),K23*$G$59,K23*$H$59))</f>
        <v>20425</v>
      </c>
      <c r="M23" s="46">
        <f>K23-L23</f>
        <v>388075</v>
      </c>
      <c r="N23" s="47">
        <f>IF(M23&gt;=90000,M23*$F$60,M23*0%)</f>
        <v>73734.25</v>
      </c>
      <c r="O23" s="6">
        <f>IF(M23&lt;=400000,M23*$F$61,M23*0%)</f>
        <v>13582.625000000002</v>
      </c>
      <c r="P23" s="42">
        <f>M23+N23-O23</f>
        <v>448226.625</v>
      </c>
      <c r="Q23" s="42" t="str">
        <f>IF(ISBLANK(A23),"",IF(ISERROR(VLOOKUP(A23,bdpapeleria,11,FALSE)),"El dato no existe",VLOOKUP(A23,bdpapeleria,11,FALSE)))</f>
        <v>CRÉDITO</v>
      </c>
      <c r="R23" s="42" t="str">
        <f>IF(I23&gt;=15,"Mala Demanda","Buena Demanda")</f>
        <v>Buena Demanda</v>
      </c>
    </row>
    <row r="24" spans="1:18" ht="34.5" customHeight="1" outlineLevel="1" x14ac:dyDescent="0.25">
      <c r="A24" s="3"/>
      <c r="B24" s="3"/>
      <c r="C24" s="39"/>
      <c r="D24" s="4"/>
      <c r="E24" s="4"/>
      <c r="F24" s="3"/>
      <c r="G24" s="39"/>
      <c r="H24" s="3"/>
      <c r="I24" s="57" t="s">
        <v>171</v>
      </c>
      <c r="J24" s="3"/>
      <c r="K24" s="6"/>
      <c r="L24" s="6"/>
      <c r="M24" s="46">
        <f>SUBTOTAL(9,M22:M23)</f>
        <v>445375</v>
      </c>
      <c r="N24" s="47"/>
      <c r="O24" s="6"/>
      <c r="P24" s="42">
        <f>SUBTOTAL(9,P22:P23)</f>
        <v>503521.125</v>
      </c>
      <c r="Q24" s="42"/>
      <c r="R24" s="42"/>
    </row>
    <row r="25" spans="1:18" ht="46.5" customHeight="1" outlineLevel="2" x14ac:dyDescent="0.25">
      <c r="A25" s="3">
        <v>701</v>
      </c>
      <c r="B25" s="3" t="str">
        <f>IF(ISBLANK(A25),"",IF(ISERROR(VLOOKUP(A25,bdpapeleria,2,FALSE)),"El dato no existe",VLOOKUP(A25,bdpapeleria,2,FALSE)))</f>
        <v>890980134-1</v>
      </c>
      <c r="C25" s="39" t="str">
        <f>IF(ISBLANK(A25),"",IF(ISERROR(VLOOKUP(A25,bdpapeleria,3,FALSE)),"El dato no existe",VLOOKUP(A25,bdpapeleria,3,FALSE)))</f>
        <v>COLEGIO MAYOR DE ANTIOQUIA</v>
      </c>
      <c r="D25" s="40">
        <f>IF(ISBLANK(A25),"",IF(ISERROR(VLOOKUP(A25,bdpapeleria,4,FALSE)),"El dato no existe",VLOOKUP(A25,bdpapeleria,4,FALSE)))</f>
        <v>4445611</v>
      </c>
      <c r="E25" s="3" t="str">
        <f>IF(ISBLANK(A25),"",IF(ISERROR(VLOOKUP(A25,bdpapeleria,5,FALSE)),"El dato no existe",VLOOKUP(A25,bdpapeleria,5,FALSE)))</f>
        <v>Carrera 78 N° 65-46</v>
      </c>
      <c r="F25" s="3" t="str">
        <f>IF(ISBLANK(A25),"",IF(ISERROR(VLOOKUP(A25,bdpapeleria,6,FALSE)),"El dato no existe",VLOOKUP(A25,bdpapeleria,6,FALSE)))</f>
        <v>Antioquia</v>
      </c>
      <c r="G25" s="39" t="str">
        <f>IF(ISBLANK(A25),"",IF(ISERROR(VLOOKUP(A25,bdpapeleria,7,FALSE)),"El dato no existe",VLOOKUP(A25,bdpapeleria,7,FALSE)))</f>
        <v xml:space="preserve">CAJA DE RESMAS TAMAÑO OFICIO </v>
      </c>
      <c r="H25" s="3">
        <f>IF(ISBLANK(A25),"",IF(ISERROR(VLOOKUP(A25,bdpapeleria,8,FALSE)),"El dato no existe",VLOOKUP(A25,bdpapeleria,8,FALSE)))</f>
        <v>35</v>
      </c>
      <c r="I25" s="3">
        <f>IF(ISBLANK(A25),"",IF(ISERROR(VLOOKUP(A25,bdpapeleria,9,FALSE)),"El dato no existe",VLOOKUP(A25,bdpapeleria,9,FALSE)))</f>
        <v>8</v>
      </c>
      <c r="J25" s="3">
        <f>IF(ISBLANK(A25),"",IF(ISERROR(VLOOKUP(A25,bdpapeleria,10,FALSE)),"El dato no existe",VLOOKUP(A25,bdpapeleria,10,FALSE)))</f>
        <v>34890</v>
      </c>
      <c r="K25" s="6">
        <f>J25*H25</f>
        <v>1221150</v>
      </c>
      <c r="L25" s="6">
        <f>IF(AND(H25&gt;=10,H25&lt;=20),K25*$F$59,IF(AND(H25&gt;=21,H25&lt;=30),K25*$G$59,K25*$H$59))</f>
        <v>61057.5</v>
      </c>
      <c r="M25" s="46">
        <f>K25-L25</f>
        <v>1160092.5</v>
      </c>
      <c r="N25" s="47">
        <f>IF(M25&gt;=90000,M25*$F$60,M25*0%)</f>
        <v>220417.57500000001</v>
      </c>
      <c r="O25" s="6">
        <f>IF(M25&lt;=400000,M25*$F$61,M25*0%)</f>
        <v>0</v>
      </c>
      <c r="P25" s="42">
        <f>M25+N25-O25</f>
        <v>1380510.075</v>
      </c>
      <c r="Q25" s="42" t="str">
        <f>IF(ISBLANK(A25),"",IF(ISERROR(VLOOKUP(A25,bdpapeleria,11,FALSE)),"El dato no existe",VLOOKUP(A25,bdpapeleria,11,FALSE)))</f>
        <v>CONTADO</v>
      </c>
      <c r="R25" s="42" t="str">
        <f>IF(I25&gt;=15,"Mala Demanda","Buena Demanda")</f>
        <v>Buena Demanda</v>
      </c>
    </row>
    <row r="26" spans="1:18" ht="34.5" customHeight="1" outlineLevel="2" x14ac:dyDescent="0.25">
      <c r="A26" s="3">
        <v>704</v>
      </c>
      <c r="B26" s="3" t="str">
        <f>IF(ISBLANK(A26),"",IF(ISERROR(VLOOKUP(A26,bdpapeleria,2,FALSE)),"El dato no existe",VLOOKUP(A26,bdpapeleria,2,FALSE)))</f>
        <v>8900704562-9</v>
      </c>
      <c r="C26" s="39" t="str">
        <f>IF(ISBLANK(A26),"",IF(ISERROR(VLOOKUP(A26,bdpapeleria,3,FALSE)),"El dato no existe",VLOOKUP(A26,bdpapeleria,3,FALSE)))</f>
        <v>CORPORACIÓN ESCUELA DE ARTES Y LETRAS</v>
      </c>
      <c r="D26" s="4">
        <f>IF(ISBLANK(A26),"",IF(ISERROR(VLOOKUP(A26,bdpapeleria,4,FALSE)),"El dato no existe",VLOOKUP(A26,bdpapeleria,4,FALSE)))</f>
        <v>2134421</v>
      </c>
      <c r="E26" s="4" t="str">
        <f>IF(ISBLANK(A26),"",IF(ISERROR(VLOOKUP(A26,bdpapeleria,5,FALSE)),"El dato no existe",VLOOKUP(A26,bdpapeleria,5,FALSE)))</f>
        <v xml:space="preserve">Calle 10 N° 29-93 </v>
      </c>
      <c r="F26" s="3" t="str">
        <f>IF(ISBLANK(A26),"",IF(ISERROR(VLOOKUP(A26,bdpapeleria,6,FALSE)),"El dato no existe",VLOOKUP(A26,bdpapeleria,6,FALSE)))</f>
        <v>Tolima</v>
      </c>
      <c r="G26" s="39" t="str">
        <f>IF(ISBLANK(A26),"",IF(ISERROR(VLOOKUP(A26,bdpapeleria,7,FALSE)),"El dato no existe",VLOOKUP(A26,bdpapeleria,7,FALSE)))</f>
        <v>CUADERNO ARGOLLADO</v>
      </c>
      <c r="H26" s="3">
        <f>IF(ISBLANK(A26),"",IF(ISERROR(VLOOKUP(A26,bdpapeleria,8,FALSE)),"El dato no existe",VLOOKUP(A26,bdpapeleria,8,FALSE)))</f>
        <v>22</v>
      </c>
      <c r="I26" s="3">
        <f>IF(ISBLANK(A26),"",IF(ISERROR(VLOOKUP(A26,bdpapeleria,9,FALSE)),"El dato no existe",VLOOKUP(A26,bdpapeleria,9,FALSE)))</f>
        <v>8</v>
      </c>
      <c r="J26" s="3">
        <f>IF(ISBLANK(A26),"",IF(ISERROR(VLOOKUP(A26,bdpapeleria,10,FALSE)),"El dato no existe",VLOOKUP(A26,bdpapeleria,10,FALSE)))</f>
        <v>10900</v>
      </c>
      <c r="K26" s="6">
        <f>J26*H26</f>
        <v>239800</v>
      </c>
      <c r="L26" s="6">
        <f>IF(AND(H26&gt;=10,H26&lt;=20),K26*$F$59,IF(AND(H26&gt;=21,H26&lt;=30),K26*$G$59,K26*$H$59))</f>
        <v>10791</v>
      </c>
      <c r="M26" s="46">
        <f>K26-L26</f>
        <v>229009</v>
      </c>
      <c r="N26" s="47">
        <f>IF(M26&gt;=90000,M26*$F$60,M26*0%)</f>
        <v>43511.71</v>
      </c>
      <c r="O26" s="6">
        <f>IF(M26&lt;=400000,M26*$F$61,M26*0%)</f>
        <v>8015.3150000000005</v>
      </c>
      <c r="P26" s="42">
        <f>M26+N26-O26</f>
        <v>264505.39500000002</v>
      </c>
      <c r="Q26" s="42" t="str">
        <f>IF(ISBLANK(A26),"",IF(ISERROR(VLOOKUP(A26,bdpapeleria,11,FALSE)),"El dato no existe",VLOOKUP(A26,bdpapeleria,11,FALSE)))</f>
        <v>CRÉDITO</v>
      </c>
      <c r="R26" s="42" t="str">
        <f>IF(I26&gt;=15,"Mala Demanda","Buena Demanda")</f>
        <v>Buena Demanda</v>
      </c>
    </row>
    <row r="27" spans="1:18" ht="34.5" customHeight="1" outlineLevel="2" x14ac:dyDescent="0.25">
      <c r="A27" s="3">
        <v>709</v>
      </c>
      <c r="B27" s="3" t="str">
        <f>IF(ISBLANK(A27),"",IF(ISERROR(VLOOKUP(A27,bdpapeleria,2,FALSE)),"El dato no existe",VLOOKUP(A27,bdpapeleria,2,FALSE)))</f>
        <v>8605008517-8</v>
      </c>
      <c r="C27" s="39" t="str">
        <f>IF(ISBLANK(A27),"",IF(ISERROR(VLOOKUP(A27,bdpapeleria,3,FALSE)),"El dato no existe",VLOOKUP(A27,bdpapeleria,3,FALSE)))</f>
        <v>UNIVERSIDAD ECCI</v>
      </c>
      <c r="D27" s="4">
        <f>IF(ISBLANK(A27),"",IF(ISERROR(VLOOKUP(A27,bdpapeleria,4,FALSE)),"El dato no existe",VLOOKUP(A27,bdpapeleria,4,FALSE)))</f>
        <v>3689618</v>
      </c>
      <c r="E27" s="4" t="str">
        <f>IF(ISBLANK(A27),"",IF(ISERROR(VLOOKUP(A27,bdpapeleria,5,FALSE)),"El dato no existe",VLOOKUP(A27,bdpapeleria,5,FALSE)))</f>
        <v>Calle 41 N° 27A-56</v>
      </c>
      <c r="F27" s="3" t="str">
        <f>IF(ISBLANK(A27),"",IF(ISERROR(VLOOKUP(A27,bdpapeleria,6,FALSE)),"El dato no existe",VLOOKUP(A27,bdpapeleria,6,FALSE)))</f>
        <v>Bolivar</v>
      </c>
      <c r="G27" s="39" t="str">
        <f>IF(ISBLANK(A27),"",IF(ISERROR(VLOOKUP(A27,bdpapeleria,7,FALSE)),"El dato no existe",VLOOKUP(A27,bdpapeleria,7,FALSE)))</f>
        <v>CAJA DE COLORES NORMA</v>
      </c>
      <c r="H27" s="3">
        <f>IF(ISBLANK(A27),"",IF(ISERROR(VLOOKUP(A27,bdpapeleria,8,FALSE)),"El dato no existe",VLOOKUP(A27,bdpapeleria,8,FALSE)))</f>
        <v>28</v>
      </c>
      <c r="I27" s="3">
        <f>IF(ISBLANK(A27),"",IF(ISERROR(VLOOKUP(A27,bdpapeleria,9,FALSE)),"El dato no existe",VLOOKUP(A27,bdpapeleria,9,FALSE)))</f>
        <v>8</v>
      </c>
      <c r="J27" s="3">
        <f>IF(ISBLANK(A27),"",IF(ISERROR(VLOOKUP(A27,bdpapeleria,10,FALSE)),"El dato no existe",VLOOKUP(A27,bdpapeleria,10,FALSE)))</f>
        <v>9500</v>
      </c>
      <c r="K27" s="6">
        <f>J27*H27</f>
        <v>266000</v>
      </c>
      <c r="L27" s="6">
        <f>IF(AND(H27&gt;=10,H27&lt;=20),K27*$F$59,IF(AND(H27&gt;=21,H27&lt;=30),K27*$G$59,K27*$H$59))</f>
        <v>11970</v>
      </c>
      <c r="M27" s="46">
        <f>K27-L27</f>
        <v>254030</v>
      </c>
      <c r="N27" s="47">
        <f>IF(M27&gt;=90000,M27*$F$60,M27*0%)</f>
        <v>48265.7</v>
      </c>
      <c r="O27" s="6">
        <f>IF(M27&lt;=400000,M27*$F$61,M27*0%)</f>
        <v>8891.0500000000011</v>
      </c>
      <c r="P27" s="42">
        <f>M27+N27-O27</f>
        <v>293404.65000000002</v>
      </c>
      <c r="Q27" s="42" t="str">
        <f>IF(ISBLANK(A27),"",IF(ISERROR(VLOOKUP(A27,bdpapeleria,11,FALSE)),"El dato no existe",VLOOKUP(A27,bdpapeleria,11,FALSE)))</f>
        <v>CRÉDITO</v>
      </c>
      <c r="R27" s="42" t="str">
        <f>IF(I27&gt;=15,"Mala Demanda","Buena Demanda")</f>
        <v>Buena Demanda</v>
      </c>
    </row>
    <row r="28" spans="1:18" ht="34.5" customHeight="1" outlineLevel="1" x14ac:dyDescent="0.25">
      <c r="A28" s="3"/>
      <c r="B28" s="3"/>
      <c r="C28" s="39"/>
      <c r="D28" s="4"/>
      <c r="E28" s="4"/>
      <c r="F28" s="3"/>
      <c r="G28" s="39"/>
      <c r="H28" s="3"/>
      <c r="I28" s="57" t="s">
        <v>172</v>
      </c>
      <c r="J28" s="3"/>
      <c r="K28" s="6"/>
      <c r="L28" s="6"/>
      <c r="M28" s="46">
        <f>SUBTOTAL(9,M25:M27)</f>
        <v>1643131.5</v>
      </c>
      <c r="N28" s="47"/>
      <c r="O28" s="6"/>
      <c r="P28" s="42">
        <f>SUBTOTAL(9,P25:P27)</f>
        <v>1938420.12</v>
      </c>
      <c r="Q28" s="42"/>
      <c r="R28" s="42"/>
    </row>
    <row r="29" spans="1:18" ht="46.5" customHeight="1" outlineLevel="2" x14ac:dyDescent="0.25">
      <c r="A29" s="3">
        <v>703</v>
      </c>
      <c r="B29" s="3" t="str">
        <f>IF(ISBLANK(A29),"",IF(ISERROR(VLOOKUP(A29,bdpapeleria,2,FALSE)),"El dato no existe",VLOOKUP(A29,bdpapeleria,2,FALSE)))</f>
        <v>891411199-3</v>
      </c>
      <c r="C29" s="39" t="str">
        <f>IF(ISBLANK(A29),"",IF(ISERROR(VLOOKUP(A29,bdpapeleria,3,FALSE)),"El dato no existe",VLOOKUP(A29,bdpapeleria,3,FALSE)))</f>
        <v>CORPORACIÓN EDUCATIVA -ITAE-</v>
      </c>
      <c r="D29" s="4">
        <f>IF(ISBLANK(A29),"",IF(ISERROR(VLOOKUP(A29,bdpapeleria,4,FALSE)),"El dato no existe",VLOOKUP(A29,bdpapeleria,4,FALSE)))</f>
        <v>6642484</v>
      </c>
      <c r="E29" s="4" t="str">
        <f>IF(ISBLANK(A29),"",IF(ISERROR(VLOOKUP(A29,bdpapeleria,5,FALSE)),"El dato no existe",VLOOKUP(A29,bdpapeleria,5,FALSE)))</f>
        <v>Centro Carrera 3 Calle de la factoria N°35-95</v>
      </c>
      <c r="F29" s="3" t="str">
        <f>IF(ISBLANK(A29),"",IF(ISERROR(VLOOKUP(A29,bdpapeleria,6,FALSE)),"El dato no existe",VLOOKUP(A29,bdpapeleria,6,FALSE)))</f>
        <v>Bolivar</v>
      </c>
      <c r="G29" s="39" t="str">
        <f>IF(ISBLANK(A29),"",IF(ISERROR(VLOOKUP(A29,bdpapeleria,7,FALSE)),"El dato no existe",VLOOKUP(A29,bdpapeleria,7,FALSE)))</f>
        <v xml:space="preserve">TALONARIO DE CAJA MENOR </v>
      </c>
      <c r="H29" s="3">
        <f>IF(ISBLANK(A29),"",IF(ISERROR(VLOOKUP(A29,bdpapeleria,8,FALSE)),"El dato no existe",VLOOKUP(A29,bdpapeleria,8,FALSE)))</f>
        <v>40</v>
      </c>
      <c r="I29" s="3">
        <f>IF(ISBLANK(A29),"",IF(ISERROR(VLOOKUP(A29,bdpapeleria,9,FALSE)),"El dato no existe",VLOOKUP(A29,bdpapeleria,9,FALSE)))</f>
        <v>10</v>
      </c>
      <c r="J29" s="3">
        <f>IF(ISBLANK(A29),"",IF(ISERROR(VLOOKUP(A29,bdpapeleria,10,FALSE)),"El dato no existe",VLOOKUP(A29,bdpapeleria,10,FALSE)))</f>
        <v>900</v>
      </c>
      <c r="K29" s="6">
        <f>J29*H29</f>
        <v>36000</v>
      </c>
      <c r="L29" s="6">
        <f>IF(AND(H29&gt;=10,H29&lt;=20),K29*$F$59,IF(AND(H29&gt;=21,H29&lt;=30),K29*$G$59,K29*$H$59))</f>
        <v>1800</v>
      </c>
      <c r="M29" s="46">
        <f>K29-L29</f>
        <v>34200</v>
      </c>
      <c r="N29" s="47">
        <f>IF(M29&gt;=90000,M29*$F$60,M29*0%)</f>
        <v>0</v>
      </c>
      <c r="O29" s="6">
        <f>IF(M29&lt;=400000,M29*$F$61,M29*0%)</f>
        <v>1197.0000000000002</v>
      </c>
      <c r="P29" s="42">
        <f>M29+N29-O29</f>
        <v>33003</v>
      </c>
      <c r="Q29" s="42" t="str">
        <f>IF(ISBLANK(A29),"",IF(ISERROR(VLOOKUP(A29,bdpapeleria,11,FALSE)),"El dato no existe",VLOOKUP(A29,bdpapeleria,11,FALSE)))</f>
        <v>CRÉDITO</v>
      </c>
      <c r="R29" s="42" t="str">
        <f>IF(I29&gt;=15,"Mala Demanda","Buena Demanda")</f>
        <v>Buena Demanda</v>
      </c>
    </row>
    <row r="30" spans="1:18" ht="46.5" customHeight="1" outlineLevel="1" x14ac:dyDescent="0.25">
      <c r="A30" s="3"/>
      <c r="B30" s="3"/>
      <c r="C30" s="39"/>
      <c r="D30" s="4"/>
      <c r="E30" s="4"/>
      <c r="F30" s="3"/>
      <c r="G30" s="39"/>
      <c r="H30" s="3"/>
      <c r="I30" s="57" t="s">
        <v>173</v>
      </c>
      <c r="J30" s="3"/>
      <c r="K30" s="6"/>
      <c r="L30" s="6"/>
      <c r="M30" s="46">
        <f>SUBTOTAL(9,M29:M29)</f>
        <v>34200</v>
      </c>
      <c r="N30" s="47"/>
      <c r="O30" s="6"/>
      <c r="P30" s="42">
        <f>SUBTOTAL(9,P29:P29)</f>
        <v>33003</v>
      </c>
      <c r="Q30" s="42"/>
      <c r="R30" s="42"/>
    </row>
    <row r="31" spans="1:18" ht="34.5" customHeight="1" outlineLevel="2" x14ac:dyDescent="0.25">
      <c r="A31" s="3">
        <v>702</v>
      </c>
      <c r="B31" s="3" t="str">
        <f>IF(ISBLANK(A31),"",IF(ISERROR(VLOOKUP(A31,bdpapeleria,2,FALSE)),"El dato no existe",VLOOKUP(A31,bdpapeleria,2,FALSE)))</f>
        <v>890480054-5</v>
      </c>
      <c r="C31" s="39" t="str">
        <f>IF(ISBLANK(A31),"",IF(ISERROR(VLOOKUP(A31,bdpapeleria,3,FALSE)),"El dato no existe",VLOOKUP(A31,bdpapeleria,3,FALSE)))</f>
        <v xml:space="preserve">CORPORACION CENTRO TÉCNICO ARQUITETÓNICO </v>
      </c>
      <c r="D31" s="4">
        <f>IF(ISBLANK(A31),"",IF(ISERROR(VLOOKUP(A31,bdpapeleria,4,FALSE)),"El dato no existe",VLOOKUP(A31,bdpapeleria,4,FALSE)))</f>
        <v>3293333</v>
      </c>
      <c r="E31" s="4" t="str">
        <f>IF(ISBLANK(A31),"",IF(ISERROR(VLOOKUP(A31,bdpapeleria,5,FALSE)),"El dato no existe",VLOOKUP(A31,bdpapeleria,5,FALSE)))</f>
        <v>Avda 30 de Agosto N° 52-236</v>
      </c>
      <c r="F31" s="3" t="str">
        <f>IF(ISBLANK(A31),"",IF(ISERROR(VLOOKUP(A31,bdpapeleria,6,FALSE)),"El dato no existe",VLOOKUP(A31,bdpapeleria,6,FALSE)))</f>
        <v>Risaralda</v>
      </c>
      <c r="G31" s="39" t="str">
        <f>IF(ISBLANK(A31),"",IF(ISERROR(VLOOKUP(A31,bdpapeleria,7,FALSE)),"El dato no existe",VLOOKUP(A31,bdpapeleria,7,FALSE)))</f>
        <v xml:space="preserve">CAJA DE RESMAS TAMAÑO CARTA X 15 </v>
      </c>
      <c r="H31" s="3">
        <f>IF(ISBLANK(A31),"",IF(ISERROR(VLOOKUP(A31,bdpapeleria,8,FALSE)),"El dato no existe",VLOOKUP(A31,bdpapeleria,8,FALSE)))</f>
        <v>20</v>
      </c>
      <c r="I31" s="3">
        <f>IF(ISBLANK(A31),"",IF(ISERROR(VLOOKUP(A31,bdpapeleria,9,FALSE)),"El dato no existe",VLOOKUP(A31,bdpapeleria,9,FALSE)))</f>
        <v>15</v>
      </c>
      <c r="J31" s="3">
        <f>IF(ISBLANK(A31),"",IF(ISERROR(VLOOKUP(A31,bdpapeleria,10,FALSE)),"El dato no existe",VLOOKUP(A31,bdpapeleria,10,FALSE)))</f>
        <v>25678</v>
      </c>
      <c r="K31" s="6">
        <f>J31*H31</f>
        <v>513560</v>
      </c>
      <c r="L31" s="6">
        <f>IF(AND(H31&gt;=10,H31&lt;=20),K31*$F$59,IF(AND(H31&gt;=21,H31&lt;=30),K31*$G$59,K31*$H$59))</f>
        <v>15406.8</v>
      </c>
      <c r="M31" s="46">
        <f>K31-L31</f>
        <v>498153.2</v>
      </c>
      <c r="N31" s="47">
        <f>IF(M31&gt;=90000,M31*$F$60,M31*0%)</f>
        <v>94649.108000000007</v>
      </c>
      <c r="O31" s="6">
        <f>IF(M31&lt;=400000,M31*$F$61,M31*0%)</f>
        <v>0</v>
      </c>
      <c r="P31" s="42">
        <f>M31+N31-O31</f>
        <v>592802.30799999996</v>
      </c>
      <c r="Q31" s="42" t="str">
        <f>IF(ISBLANK(A31),"",IF(ISERROR(VLOOKUP(A31,bdpapeleria,11,FALSE)),"El dato no existe",VLOOKUP(A31,bdpapeleria,11,FALSE)))</f>
        <v>CONTADO</v>
      </c>
      <c r="R31" s="42" t="str">
        <f>IF(I31&gt;=15,"Mala Demanda","Buena Demanda")</f>
        <v>Mala Demanda</v>
      </c>
    </row>
    <row r="32" spans="1:18" ht="34.5" customHeight="1" outlineLevel="2" x14ac:dyDescent="0.25">
      <c r="A32" s="3">
        <v>717</v>
      </c>
      <c r="B32" s="3" t="str">
        <f>IF(ISBLANK(A32),"",IF(ISERROR(VLOOKUP(A32,bdpapeleria,2,FALSE)),"El dato no existe",VLOOKUP(A32,bdpapeleria,2,FALSE)))</f>
        <v>800203863-5</v>
      </c>
      <c r="C32" s="39" t="str">
        <f>IF(ISBLANK(A32),"",IF(ISERROR(VLOOKUP(A32,bdpapeleria,3,FALSE)),"El dato no existe",VLOOKUP(A32,bdpapeleria,3,FALSE)))</f>
        <v>INSTITUCIÓN UNIVERSITARIA ESCOLME</v>
      </c>
      <c r="D32" s="4">
        <f>IF(ISBLANK(A32),"",IF(ISERROR(VLOOKUP(A32,bdpapeleria,4,FALSE)),"El dato no existe",VLOOKUP(A32,bdpapeleria,4,FALSE)))</f>
        <v>8213000</v>
      </c>
      <c r="E32" s="4" t="str">
        <f>IF(ISBLANK(A32),"",IF(ISERROR(VLOOKUP(A32,bdpapeleria,5,FALSE)),"El dato no existe",VLOOKUP(A32,bdpapeleria,5,FALSE)))</f>
        <v>Calle 5 N° 3-85</v>
      </c>
      <c r="F32" s="3" t="str">
        <f>IF(ISBLANK(A32),"",IF(ISERROR(VLOOKUP(A32,bdpapeleria,6,FALSE)),"El dato no existe",VLOOKUP(A32,bdpapeleria,6,FALSE)))</f>
        <v>Cundinamarca</v>
      </c>
      <c r="G32" s="39" t="str">
        <f>IF(ISBLANK(A32),"",IF(ISERROR(VLOOKUP(A32,bdpapeleria,7,FALSE)),"El dato no existe",VLOOKUP(A32,bdpapeleria,7,FALSE)))</f>
        <v>CAJA LAPIZ MIRADO No. 2   X12 U</v>
      </c>
      <c r="H32" s="3">
        <f>IF(ISBLANK(A32),"",IF(ISERROR(VLOOKUP(A32,bdpapeleria,8,FALSE)),"El dato no existe",VLOOKUP(A32,bdpapeleria,8,FALSE)))</f>
        <v>35</v>
      </c>
      <c r="I32" s="3">
        <f>IF(ISBLANK(A32),"",IF(ISERROR(VLOOKUP(A32,bdpapeleria,9,FALSE)),"El dato no existe",VLOOKUP(A32,bdpapeleria,9,FALSE)))</f>
        <v>15</v>
      </c>
      <c r="J32" s="3">
        <f>IF(ISBLANK(A32),"",IF(ISERROR(VLOOKUP(A32,bdpapeleria,10,FALSE)),"El dato no existe",VLOOKUP(A32,bdpapeleria,10,FALSE)))</f>
        <v>7680</v>
      </c>
      <c r="K32" s="6">
        <f>J32*H32</f>
        <v>268800</v>
      </c>
      <c r="L32" s="6">
        <f>IF(AND(H32&gt;=10,H32&lt;=20),K32*$F$59,IF(AND(H32&gt;=21,H32&lt;=30),K32*$G$59,K32*$H$59))</f>
        <v>13440</v>
      </c>
      <c r="M32" s="46">
        <f>K32-L32</f>
        <v>255360</v>
      </c>
      <c r="N32" s="47">
        <f>IF(M32&gt;=90000,M32*$F$60,M32*0%)</f>
        <v>48518.400000000001</v>
      </c>
      <c r="O32" s="6">
        <f>IF(M32&lt;=400000,M32*$F$61,M32*0%)</f>
        <v>8937.6</v>
      </c>
      <c r="P32" s="42">
        <f>M32+N32-O32</f>
        <v>294940.80000000005</v>
      </c>
      <c r="Q32" s="42" t="str">
        <f>IF(ISBLANK(A32),"",IF(ISERROR(VLOOKUP(A32,bdpapeleria,11,FALSE)),"El dato no existe",VLOOKUP(A32,bdpapeleria,11,FALSE)))</f>
        <v>CRÉDITO</v>
      </c>
      <c r="R32" s="42" t="str">
        <f>IF(I32&gt;=15,"Mala Demanda","Buena Demanda")</f>
        <v>Mala Demanda</v>
      </c>
    </row>
    <row r="33" spans="1:18" ht="34.5" customHeight="1" outlineLevel="1" x14ac:dyDescent="0.25">
      <c r="A33" s="3"/>
      <c r="B33" s="3"/>
      <c r="C33" s="39"/>
      <c r="D33" s="4"/>
      <c r="E33" s="4"/>
      <c r="F33" s="3"/>
      <c r="G33" s="39"/>
      <c r="H33" s="3"/>
      <c r="I33" s="57" t="s">
        <v>174</v>
      </c>
      <c r="J33" s="3"/>
      <c r="K33" s="6"/>
      <c r="L33" s="6"/>
      <c r="M33" s="46">
        <f>SUBTOTAL(9,M31:M32)</f>
        <v>753513.2</v>
      </c>
      <c r="N33" s="47"/>
      <c r="O33" s="6"/>
      <c r="P33" s="42">
        <f>SUBTOTAL(9,P31:P32)</f>
        <v>887743.10800000001</v>
      </c>
      <c r="Q33" s="42"/>
      <c r="R33" s="42"/>
    </row>
    <row r="34" spans="1:18" ht="34.5" customHeight="1" outlineLevel="2" x14ac:dyDescent="0.25">
      <c r="A34" s="3">
        <v>705</v>
      </c>
      <c r="B34" s="3" t="str">
        <f t="shared" ref="B34:B45" si="0">IF(ISBLANK(A34),"",IF(ISERROR(VLOOKUP(A34,bdpapeleria,2,FALSE)),"El dato no existe",VLOOKUP(A34,bdpapeleria,2,FALSE)))</f>
        <v>890203706-2</v>
      </c>
      <c r="C34" s="39" t="str">
        <f t="shared" ref="C34:C45" si="1">IF(ISBLANK(A34),"",IF(ISERROR(VLOOKUP(A34,bdpapeleria,3,FALSE)),"El dato no existe",VLOOKUP(A34,bdpapeleria,3,FALSE)))</f>
        <v>UNIVERSIDAD CATÓLICA LUIS AMIGÓ</v>
      </c>
      <c r="D34" s="4">
        <f t="shared" ref="D34:D45" si="2">IF(ISBLANK(A34),"",IF(ISERROR(VLOOKUP(A34,bdpapeleria,4,FALSE)),"El dato no existe",VLOOKUP(A34,bdpapeleria,4,FALSE)))</f>
        <v>6525202</v>
      </c>
      <c r="E34" s="4" t="str">
        <f t="shared" ref="E34:E45" si="3">IF(ISBLANK(A34),"",IF(ISERROR(VLOOKUP(A34,bdpapeleria,5,FALSE)),"El dato no existe",VLOOKUP(A34,bdpapeleria,5,FALSE)))</f>
        <v>Calle 10 N° 3-95</v>
      </c>
      <c r="F34" s="3" t="str">
        <f t="shared" ref="F34:F45" si="4">IF(ISBLANK(A34),"",IF(ISERROR(VLOOKUP(A34,bdpapeleria,6,FALSE)),"El dato no existe",VLOOKUP(A34,bdpapeleria,6,FALSE)))</f>
        <v>Antioquia</v>
      </c>
      <c r="G34" s="39" t="str">
        <f t="shared" ref="G34:G45" si="5">IF(ISBLANK(A34),"",IF(ISERROR(VLOOKUP(A34,bdpapeleria,7,FALSE)),"El dato no existe",VLOOKUP(A34,bdpapeleria,7,FALSE)))</f>
        <v>CARPETAS PARA ARCHIVO TAMAÑO OFICIO</v>
      </c>
      <c r="H34" s="3">
        <f t="shared" ref="H34:H45" si="6">IF(ISBLANK(A34),"",IF(ISERROR(VLOOKUP(A34,bdpapeleria,8,FALSE)),"El dato no existe",VLOOKUP(A34,bdpapeleria,8,FALSE)))</f>
        <v>43</v>
      </c>
      <c r="I34" s="3">
        <f t="shared" ref="I34:I45" si="7">IF(ISBLANK(A34),"",IF(ISERROR(VLOOKUP(A34,bdpapeleria,9,FALSE)),"El dato no existe",VLOOKUP(A34,bdpapeleria,9,FALSE)))</f>
        <v>30</v>
      </c>
      <c r="J34" s="3">
        <f t="shared" ref="J34:J45" si="8">IF(ISBLANK(A34),"",IF(ISERROR(VLOOKUP(A34,bdpapeleria,10,FALSE)),"El dato no existe",VLOOKUP(A34,bdpapeleria,10,FALSE)))</f>
        <v>7100</v>
      </c>
      <c r="K34" s="6">
        <f t="shared" ref="K34:K45" si="9">J34*H34</f>
        <v>305300</v>
      </c>
      <c r="L34" s="6">
        <f t="shared" ref="L34:L45" si="10">IF(AND(H34&gt;=10,H34&lt;=20),K34*$F$59,IF(AND(H34&gt;=21,H34&lt;=30),K34*$G$59,K34*$H$59))</f>
        <v>15265</v>
      </c>
      <c r="M34" s="46">
        <f t="shared" ref="M34:M45" si="11">K34-L34</f>
        <v>290035</v>
      </c>
      <c r="N34" s="47">
        <f t="shared" ref="N34:N45" si="12">IF(M34&gt;=90000,M34*$F$60,M34*0%)</f>
        <v>55106.65</v>
      </c>
      <c r="O34" s="6">
        <f t="shared" ref="O34:O45" si="13">IF(M34&lt;=400000,M34*$F$61,M34*0%)</f>
        <v>10151.225</v>
      </c>
      <c r="P34" s="42">
        <f t="shared" ref="P34:P45" si="14">M34+N34-O34</f>
        <v>334990.42500000005</v>
      </c>
      <c r="Q34" s="42" t="str">
        <f t="shared" ref="Q34:Q45" si="15">IF(ISBLANK(A34),"",IF(ISERROR(VLOOKUP(A34,bdpapeleria,11,FALSE)),"El dato no existe",VLOOKUP(A34,bdpapeleria,11,FALSE)))</f>
        <v>CRÉDITO</v>
      </c>
      <c r="R34" s="42" t="str">
        <f t="shared" ref="R34:R45" si="16">IF(I34&gt;=15,"Mala Demanda","Buena Demanda")</f>
        <v>Mala Demanda</v>
      </c>
    </row>
    <row r="35" spans="1:18" ht="34.5" customHeight="1" outlineLevel="2" x14ac:dyDescent="0.25">
      <c r="A35" s="3">
        <v>708</v>
      </c>
      <c r="B35" s="3" t="str">
        <f t="shared" si="0"/>
        <v>860504543-1</v>
      </c>
      <c r="C35" s="39" t="str">
        <f t="shared" si="1"/>
        <v>CORPORACIÓN UNIVERSITARIA MARÍA</v>
      </c>
      <c r="D35" s="4">
        <f t="shared" si="2"/>
        <v>5446573</v>
      </c>
      <c r="E35" s="4" t="str">
        <f t="shared" si="3"/>
        <v>Carrera 23 N° 63-36</v>
      </c>
      <c r="F35" s="3" t="str">
        <f t="shared" si="4"/>
        <v>Risaralda</v>
      </c>
      <c r="G35" s="39" t="str">
        <f t="shared" si="5"/>
        <v>LIBRO CONTABLE</v>
      </c>
      <c r="H35" s="3">
        <f t="shared" si="6"/>
        <v>15</v>
      </c>
      <c r="I35" s="3">
        <f t="shared" si="7"/>
        <v>30</v>
      </c>
      <c r="J35" s="3">
        <f t="shared" si="8"/>
        <v>4500</v>
      </c>
      <c r="K35" s="6">
        <f t="shared" si="9"/>
        <v>67500</v>
      </c>
      <c r="L35" s="6">
        <f t="shared" si="10"/>
        <v>2025</v>
      </c>
      <c r="M35" s="46">
        <f t="shared" si="11"/>
        <v>65475</v>
      </c>
      <c r="N35" s="47">
        <f t="shared" si="12"/>
        <v>0</v>
      </c>
      <c r="O35" s="6">
        <f t="shared" si="13"/>
        <v>2291.625</v>
      </c>
      <c r="P35" s="42">
        <f t="shared" si="14"/>
        <v>63183.375</v>
      </c>
      <c r="Q35" s="42" t="str">
        <f t="shared" si="15"/>
        <v>CONTADO</v>
      </c>
      <c r="R35" s="42" t="str">
        <f t="shared" si="16"/>
        <v>Mala Demanda</v>
      </c>
    </row>
    <row r="36" spans="1:18" ht="34.5" customHeight="1" outlineLevel="2" x14ac:dyDescent="0.25">
      <c r="A36" s="3">
        <v>711</v>
      </c>
      <c r="B36" s="3" t="str">
        <f t="shared" si="0"/>
        <v>800003863-5</v>
      </c>
      <c r="C36" s="39" t="str">
        <f t="shared" si="1"/>
        <v>ESCUELA NACIONAL DE DEPORTE</v>
      </c>
      <c r="D36" s="4">
        <f t="shared" si="2"/>
        <v>2826786</v>
      </c>
      <c r="E36" s="4" t="str">
        <f t="shared" si="3"/>
        <v>Calle 19 N° 3-16</v>
      </c>
      <c r="F36" s="3" t="str">
        <f t="shared" si="4"/>
        <v>Santander</v>
      </c>
      <c r="G36" s="39" t="str">
        <f t="shared" si="5"/>
        <v>LIBRO CONTABLE</v>
      </c>
      <c r="H36" s="3">
        <f t="shared" si="6"/>
        <v>45</v>
      </c>
      <c r="I36" s="3">
        <f t="shared" si="7"/>
        <v>30</v>
      </c>
      <c r="J36" s="3">
        <f t="shared" si="8"/>
        <v>4500</v>
      </c>
      <c r="K36" s="6">
        <f t="shared" si="9"/>
        <v>202500</v>
      </c>
      <c r="L36" s="6">
        <f t="shared" si="10"/>
        <v>10125</v>
      </c>
      <c r="M36" s="46">
        <f t="shared" si="11"/>
        <v>192375</v>
      </c>
      <c r="N36" s="47">
        <f t="shared" si="12"/>
        <v>36551.25</v>
      </c>
      <c r="O36" s="6">
        <f t="shared" si="13"/>
        <v>6733.1250000000009</v>
      </c>
      <c r="P36" s="42">
        <f t="shared" si="14"/>
        <v>222193.125</v>
      </c>
      <c r="Q36" s="42" t="str">
        <f t="shared" si="15"/>
        <v>CONTADO</v>
      </c>
      <c r="R36" s="42" t="str">
        <f t="shared" si="16"/>
        <v>Mala Demanda</v>
      </c>
    </row>
    <row r="37" spans="1:18" ht="34.5" customHeight="1" outlineLevel="2" x14ac:dyDescent="0.25">
      <c r="A37" s="3">
        <v>715</v>
      </c>
      <c r="B37" s="3" t="str">
        <f t="shared" si="0"/>
        <v>8607108517-8</v>
      </c>
      <c r="C37" s="39" t="str">
        <f t="shared" si="1"/>
        <v>CASA DE LA CULTURA PEDRITO RUIZ</v>
      </c>
      <c r="D37" s="4">
        <f t="shared" si="2"/>
        <v>3232964</v>
      </c>
      <c r="E37" s="4" t="str">
        <f t="shared" si="3"/>
        <v>Carrera 9 N° 45 A-44</v>
      </c>
      <c r="F37" s="3" t="str">
        <f t="shared" si="4"/>
        <v>Valle del Cauca</v>
      </c>
      <c r="G37" s="39" t="str">
        <f t="shared" si="5"/>
        <v>GRAPADORA MEDIANA</v>
      </c>
      <c r="H37" s="3">
        <f t="shared" si="6"/>
        <v>30</v>
      </c>
      <c r="I37" s="3">
        <f t="shared" si="7"/>
        <v>30</v>
      </c>
      <c r="J37" s="3">
        <f t="shared" si="8"/>
        <v>4708</v>
      </c>
      <c r="K37" s="6">
        <f t="shared" si="9"/>
        <v>141240</v>
      </c>
      <c r="L37" s="6">
        <f t="shared" si="10"/>
        <v>6355.8</v>
      </c>
      <c r="M37" s="46">
        <f t="shared" si="11"/>
        <v>134884.20000000001</v>
      </c>
      <c r="N37" s="47">
        <f t="shared" si="12"/>
        <v>25627.998000000003</v>
      </c>
      <c r="O37" s="6">
        <f t="shared" si="13"/>
        <v>4720.947000000001</v>
      </c>
      <c r="P37" s="42">
        <f t="shared" si="14"/>
        <v>155791.25099999999</v>
      </c>
      <c r="Q37" s="42" t="str">
        <f t="shared" si="15"/>
        <v>CRÉDITO</v>
      </c>
      <c r="R37" s="42" t="str">
        <f t="shared" si="16"/>
        <v>Mala Demanda</v>
      </c>
    </row>
    <row r="38" spans="1:18" ht="43.5" customHeight="1" outlineLevel="2" x14ac:dyDescent="0.25">
      <c r="A38" s="3">
        <v>718</v>
      </c>
      <c r="B38" s="3" t="str">
        <f t="shared" si="0"/>
        <v>860421734-9</v>
      </c>
      <c r="C38" s="39" t="str">
        <f t="shared" si="1"/>
        <v>FUNDACIÓN UNIVERSITARIA INPAHU</v>
      </c>
      <c r="D38" s="4">
        <f t="shared" si="2"/>
        <v>2459170</v>
      </c>
      <c r="E38" s="4" t="str">
        <f t="shared" si="3"/>
        <v>Calle 30 N° 35-18</v>
      </c>
      <c r="F38" s="3" t="str">
        <f t="shared" si="4"/>
        <v>Atlántico</v>
      </c>
      <c r="G38" s="39" t="str">
        <f t="shared" si="5"/>
        <v>GRAPADORA PEQUEÑA</v>
      </c>
      <c r="H38" s="3">
        <f t="shared" si="6"/>
        <v>37</v>
      </c>
      <c r="I38" s="3">
        <f t="shared" si="7"/>
        <v>30</v>
      </c>
      <c r="J38" s="3">
        <f t="shared" si="8"/>
        <v>2456</v>
      </c>
      <c r="K38" s="6">
        <f t="shared" si="9"/>
        <v>90872</v>
      </c>
      <c r="L38" s="6">
        <f t="shared" si="10"/>
        <v>4543.6000000000004</v>
      </c>
      <c r="M38" s="46">
        <f t="shared" si="11"/>
        <v>86328.4</v>
      </c>
      <c r="N38" s="47">
        <f t="shared" si="12"/>
        <v>0</v>
      </c>
      <c r="O38" s="6">
        <f t="shared" si="13"/>
        <v>3021.4940000000001</v>
      </c>
      <c r="P38" s="42">
        <f t="shared" si="14"/>
        <v>83306.905999999988</v>
      </c>
      <c r="Q38" s="42" t="str">
        <f t="shared" si="15"/>
        <v>CONTADO</v>
      </c>
      <c r="R38" s="42" t="str">
        <f t="shared" si="16"/>
        <v>Mala Demanda</v>
      </c>
    </row>
    <row r="39" spans="1:18" ht="34.5" customHeight="1" outlineLevel="2" x14ac:dyDescent="0.25">
      <c r="A39" s="3">
        <v>721</v>
      </c>
      <c r="B39" s="3" t="str">
        <f t="shared" si="0"/>
        <v>823004609-9</v>
      </c>
      <c r="C39" s="39" t="str">
        <f t="shared" si="1"/>
        <v>INSTITUTO DEPARTAMENTAL ARTES</v>
      </c>
      <c r="D39" s="4">
        <f t="shared" si="2"/>
        <v>6061101</v>
      </c>
      <c r="E39" s="4" t="str">
        <f t="shared" si="3"/>
        <v>Calle 70 N° 10 A-39</v>
      </c>
      <c r="F39" s="3" t="str">
        <f t="shared" si="4"/>
        <v>Risaralda</v>
      </c>
      <c r="G39" s="39" t="str">
        <f t="shared" si="5"/>
        <v>CARPETAS PARA ARCHIVO TAMAÑO OFICIO</v>
      </c>
      <c r="H39" s="3">
        <f t="shared" si="6"/>
        <v>32</v>
      </c>
      <c r="I39" s="3">
        <f t="shared" si="7"/>
        <v>30</v>
      </c>
      <c r="J39" s="3">
        <f t="shared" si="8"/>
        <v>7100</v>
      </c>
      <c r="K39" s="6">
        <f t="shared" si="9"/>
        <v>227200</v>
      </c>
      <c r="L39" s="6">
        <f t="shared" si="10"/>
        <v>11360</v>
      </c>
      <c r="M39" s="46">
        <f t="shared" si="11"/>
        <v>215840</v>
      </c>
      <c r="N39" s="47">
        <f t="shared" si="12"/>
        <v>41009.599999999999</v>
      </c>
      <c r="O39" s="6">
        <f t="shared" si="13"/>
        <v>7554.4000000000005</v>
      </c>
      <c r="P39" s="42">
        <f t="shared" si="14"/>
        <v>249295.2</v>
      </c>
      <c r="Q39" s="42" t="str">
        <f t="shared" si="15"/>
        <v>CRÉDITO</v>
      </c>
      <c r="R39" s="42" t="str">
        <f t="shared" si="16"/>
        <v>Mala Demanda</v>
      </c>
    </row>
    <row r="40" spans="1:18" ht="34.5" customHeight="1" outlineLevel="2" x14ac:dyDescent="0.25">
      <c r="A40" s="3">
        <v>722</v>
      </c>
      <c r="B40" s="3" t="str">
        <f t="shared" si="0"/>
        <v>890982134-3</v>
      </c>
      <c r="C40" s="39" t="str">
        <f t="shared" si="1"/>
        <v>UNIVERSIDAD ANTIONIO JOSÉ</v>
      </c>
      <c r="D40" s="4">
        <f t="shared" si="2"/>
        <v>2812282</v>
      </c>
      <c r="E40" s="4" t="str">
        <f t="shared" si="3"/>
        <v>Calle 27 N° 21-49</v>
      </c>
      <c r="F40" s="3" t="str">
        <f t="shared" si="4"/>
        <v>Sucre</v>
      </c>
      <c r="G40" s="39" t="str">
        <f t="shared" si="5"/>
        <v>CARPETAS PARA ARCHIVO TAMAÑO CARTA</v>
      </c>
      <c r="H40" s="3">
        <f t="shared" si="6"/>
        <v>24</v>
      </c>
      <c r="I40" s="3">
        <f t="shared" si="7"/>
        <v>30</v>
      </c>
      <c r="J40" s="3">
        <f t="shared" si="8"/>
        <v>4500</v>
      </c>
      <c r="K40" s="6">
        <f t="shared" si="9"/>
        <v>108000</v>
      </c>
      <c r="L40" s="6">
        <f t="shared" si="10"/>
        <v>4860</v>
      </c>
      <c r="M40" s="46">
        <f t="shared" si="11"/>
        <v>103140</v>
      </c>
      <c r="N40" s="47">
        <f t="shared" si="12"/>
        <v>19596.599999999999</v>
      </c>
      <c r="O40" s="6">
        <f t="shared" si="13"/>
        <v>3609.9000000000005</v>
      </c>
      <c r="P40" s="42">
        <f t="shared" si="14"/>
        <v>119126.70000000001</v>
      </c>
      <c r="Q40" s="42" t="str">
        <f t="shared" si="15"/>
        <v>CONTADO</v>
      </c>
      <c r="R40" s="42" t="str">
        <f t="shared" si="16"/>
        <v>Mala Demanda</v>
      </c>
    </row>
    <row r="41" spans="1:18" ht="34.5" customHeight="1" outlineLevel="2" x14ac:dyDescent="0.25">
      <c r="A41" s="3">
        <v>723</v>
      </c>
      <c r="B41" s="3" t="str">
        <f t="shared" si="0"/>
        <v>892480054-9</v>
      </c>
      <c r="C41" s="39" t="str">
        <f t="shared" si="1"/>
        <v>INSTITUCIÓN DE EDUCACIÓN EMPRESARIAL</v>
      </c>
      <c r="D41" s="4">
        <f t="shared" si="2"/>
        <v>2804017</v>
      </c>
      <c r="E41" s="4" t="str">
        <f t="shared" si="3"/>
        <v>Calle 21 N° 6-01</v>
      </c>
      <c r="F41" s="3" t="str">
        <f t="shared" si="4"/>
        <v>Sucre</v>
      </c>
      <c r="G41" s="39" t="str">
        <f t="shared" si="5"/>
        <v>CARPETAS PARA ARCHIVO TAMAÑO CARTA</v>
      </c>
      <c r="H41" s="3">
        <f t="shared" si="6"/>
        <v>21</v>
      </c>
      <c r="I41" s="3">
        <f t="shared" si="7"/>
        <v>30</v>
      </c>
      <c r="J41" s="3">
        <f t="shared" si="8"/>
        <v>4500</v>
      </c>
      <c r="K41" s="6">
        <f t="shared" si="9"/>
        <v>94500</v>
      </c>
      <c r="L41" s="6">
        <f t="shared" si="10"/>
        <v>4252.5</v>
      </c>
      <c r="M41" s="46">
        <f t="shared" si="11"/>
        <v>90247.5</v>
      </c>
      <c r="N41" s="47">
        <f t="shared" si="12"/>
        <v>17147.025000000001</v>
      </c>
      <c r="O41" s="6">
        <f t="shared" si="13"/>
        <v>3158.6625000000004</v>
      </c>
      <c r="P41" s="42">
        <f t="shared" si="14"/>
        <v>104235.86249999999</v>
      </c>
      <c r="Q41" s="42" t="str">
        <f t="shared" si="15"/>
        <v>CRÉDITO</v>
      </c>
      <c r="R41" s="42" t="str">
        <f t="shared" si="16"/>
        <v>Mala Demanda</v>
      </c>
    </row>
    <row r="42" spans="1:18" ht="46.5" customHeight="1" outlineLevel="2" x14ac:dyDescent="0.25">
      <c r="A42" s="3">
        <v>724</v>
      </c>
      <c r="B42" s="3" t="str">
        <f t="shared" si="0"/>
        <v>891421189-6</v>
      </c>
      <c r="C42" s="39" t="str">
        <f t="shared" si="1"/>
        <v xml:space="preserve">UNIVERSIDAD CENTRAL </v>
      </c>
      <c r="D42" s="4">
        <f t="shared" si="2"/>
        <v>3681013</v>
      </c>
      <c r="E42" s="4" t="str">
        <f t="shared" si="3"/>
        <v>Carrera 50 N° 79-155</v>
      </c>
      <c r="F42" s="3" t="str">
        <f t="shared" si="4"/>
        <v>Valle del Cauca</v>
      </c>
      <c r="G42" s="39" t="str">
        <f t="shared" si="5"/>
        <v xml:space="preserve">MORRAL </v>
      </c>
      <c r="H42" s="3">
        <f t="shared" si="6"/>
        <v>26</v>
      </c>
      <c r="I42" s="3">
        <f t="shared" si="7"/>
        <v>30</v>
      </c>
      <c r="J42" s="3">
        <f t="shared" si="8"/>
        <v>24000</v>
      </c>
      <c r="K42" s="6">
        <f t="shared" si="9"/>
        <v>624000</v>
      </c>
      <c r="L42" s="6">
        <f t="shared" si="10"/>
        <v>28080</v>
      </c>
      <c r="M42" s="46">
        <f t="shared" si="11"/>
        <v>595920</v>
      </c>
      <c r="N42" s="47">
        <f t="shared" si="12"/>
        <v>113224.8</v>
      </c>
      <c r="O42" s="6">
        <f t="shared" si="13"/>
        <v>0</v>
      </c>
      <c r="P42" s="42">
        <f t="shared" si="14"/>
        <v>709144.8</v>
      </c>
      <c r="Q42" s="42" t="str">
        <f t="shared" si="15"/>
        <v>CONTADO</v>
      </c>
      <c r="R42" s="42" t="str">
        <f t="shared" si="16"/>
        <v>Mala Demanda</v>
      </c>
    </row>
    <row r="43" spans="1:18" ht="34.5" customHeight="1" outlineLevel="2" x14ac:dyDescent="0.25">
      <c r="A43" s="3">
        <v>725</v>
      </c>
      <c r="B43" s="3" t="str">
        <f t="shared" si="0"/>
        <v>8902704562-5</v>
      </c>
      <c r="C43" s="39" t="str">
        <f t="shared" si="1"/>
        <v>UNIVERSIDAD EAFIT</v>
      </c>
      <c r="D43" s="4">
        <f t="shared" si="2"/>
        <v>3489292</v>
      </c>
      <c r="E43" s="4" t="str">
        <f t="shared" si="3"/>
        <v>Calle 67 N° 5-27</v>
      </c>
      <c r="F43" s="3" t="str">
        <f t="shared" si="4"/>
        <v>Antioquia</v>
      </c>
      <c r="G43" s="39" t="str">
        <f t="shared" si="5"/>
        <v xml:space="preserve">MORRAL </v>
      </c>
      <c r="H43" s="3">
        <f t="shared" si="6"/>
        <v>39</v>
      </c>
      <c r="I43" s="3">
        <f t="shared" si="7"/>
        <v>30</v>
      </c>
      <c r="J43" s="3">
        <f t="shared" si="8"/>
        <v>24000</v>
      </c>
      <c r="K43" s="6">
        <f t="shared" si="9"/>
        <v>936000</v>
      </c>
      <c r="L43" s="6">
        <f t="shared" si="10"/>
        <v>46800</v>
      </c>
      <c r="M43" s="46">
        <f t="shared" si="11"/>
        <v>889200</v>
      </c>
      <c r="N43" s="47">
        <f t="shared" si="12"/>
        <v>168948</v>
      </c>
      <c r="O43" s="6">
        <f t="shared" si="13"/>
        <v>0</v>
      </c>
      <c r="P43" s="42">
        <f t="shared" si="14"/>
        <v>1058148</v>
      </c>
      <c r="Q43" s="42" t="str">
        <f t="shared" si="15"/>
        <v>CRÉDITO</v>
      </c>
      <c r="R43" s="42" t="str">
        <f t="shared" si="16"/>
        <v>Mala Demanda</v>
      </c>
    </row>
    <row r="44" spans="1:18" ht="34.5" customHeight="1" outlineLevel="2" x14ac:dyDescent="0.25">
      <c r="A44" s="3">
        <v>729</v>
      </c>
      <c r="B44" s="3" t="str">
        <f t="shared" si="0"/>
        <v>811005425-1</v>
      </c>
      <c r="C44" s="39" t="str">
        <f t="shared" si="1"/>
        <v>UNIVERSIDAD DE PAMPLONA</v>
      </c>
      <c r="D44" s="4">
        <f t="shared" si="2"/>
        <v>2320606</v>
      </c>
      <c r="E44" s="4" t="str">
        <f t="shared" si="3"/>
        <v>Carrera 19 N° 49-20</v>
      </c>
      <c r="F44" s="3" t="str">
        <f t="shared" si="4"/>
        <v>Sucre</v>
      </c>
      <c r="G44" s="39" t="str">
        <f t="shared" si="5"/>
        <v>GRAPADORA MEDIANA</v>
      </c>
      <c r="H44" s="3">
        <f t="shared" si="6"/>
        <v>20</v>
      </c>
      <c r="I44" s="3">
        <f t="shared" si="7"/>
        <v>30</v>
      </c>
      <c r="J44" s="3">
        <f t="shared" si="8"/>
        <v>4708</v>
      </c>
      <c r="K44" s="6">
        <f t="shared" si="9"/>
        <v>94160</v>
      </c>
      <c r="L44" s="6">
        <f t="shared" si="10"/>
        <v>2824.7999999999997</v>
      </c>
      <c r="M44" s="46">
        <f t="shared" si="11"/>
        <v>91335.2</v>
      </c>
      <c r="N44" s="47">
        <f t="shared" si="12"/>
        <v>17353.687999999998</v>
      </c>
      <c r="O44" s="6">
        <f t="shared" si="13"/>
        <v>3196.7320000000004</v>
      </c>
      <c r="P44" s="42">
        <f t="shared" si="14"/>
        <v>105492.15599999999</v>
      </c>
      <c r="Q44" s="42" t="str">
        <f t="shared" si="15"/>
        <v>CONTADO</v>
      </c>
      <c r="R44" s="42" t="str">
        <f t="shared" si="16"/>
        <v>Mala Demanda</v>
      </c>
    </row>
    <row r="45" spans="1:18" ht="34.5" customHeight="1" outlineLevel="2" x14ac:dyDescent="0.25">
      <c r="A45" s="3">
        <v>730</v>
      </c>
      <c r="B45" s="3" t="str">
        <f t="shared" si="0"/>
        <v>860510627-6</v>
      </c>
      <c r="C45" s="39" t="str">
        <f t="shared" si="1"/>
        <v>UNIVERSIDAD DEL ATLÁNTICO</v>
      </c>
      <c r="D45" s="4">
        <f t="shared" si="2"/>
        <v>2880693</v>
      </c>
      <c r="E45" s="4" t="str">
        <f t="shared" si="3"/>
        <v>Calle 9 N° 34-01</v>
      </c>
      <c r="F45" s="3" t="str">
        <f t="shared" si="4"/>
        <v xml:space="preserve">Atlántico </v>
      </c>
      <c r="G45" s="39" t="str">
        <f t="shared" si="5"/>
        <v xml:space="preserve">MORRAL </v>
      </c>
      <c r="H45" s="3">
        <f t="shared" si="6"/>
        <v>10</v>
      </c>
      <c r="I45" s="3">
        <f t="shared" si="7"/>
        <v>30</v>
      </c>
      <c r="J45" s="3">
        <f t="shared" si="8"/>
        <v>24000</v>
      </c>
      <c r="K45" s="6">
        <f t="shared" si="9"/>
        <v>240000</v>
      </c>
      <c r="L45" s="6">
        <f t="shared" si="10"/>
        <v>7200</v>
      </c>
      <c r="M45" s="46">
        <f t="shared" si="11"/>
        <v>232800</v>
      </c>
      <c r="N45" s="47">
        <f t="shared" si="12"/>
        <v>44232</v>
      </c>
      <c r="O45" s="6">
        <f t="shared" si="13"/>
        <v>8148.0000000000009</v>
      </c>
      <c r="P45" s="42">
        <f t="shared" si="14"/>
        <v>268884</v>
      </c>
      <c r="Q45" s="42" t="str">
        <f t="shared" si="15"/>
        <v>CONTADO</v>
      </c>
      <c r="R45" s="42" t="str">
        <f t="shared" si="16"/>
        <v>Mala Demanda</v>
      </c>
    </row>
    <row r="46" spans="1:18" ht="34.5" customHeight="1" outlineLevel="1" x14ac:dyDescent="0.25">
      <c r="A46" s="41"/>
      <c r="B46" s="41"/>
      <c r="C46" s="58"/>
      <c r="D46" s="59"/>
      <c r="E46" s="59"/>
      <c r="F46" s="41"/>
      <c r="G46" s="58"/>
      <c r="H46" s="41"/>
      <c r="I46" s="57" t="s">
        <v>175</v>
      </c>
      <c r="J46" s="60"/>
      <c r="K46" s="61"/>
      <c r="L46" s="6"/>
      <c r="M46" s="46">
        <f>SUBTOTAL(9,M34:M45)</f>
        <v>2987580.3000000003</v>
      </c>
      <c r="N46" s="47"/>
      <c r="O46" s="6"/>
      <c r="P46" s="42">
        <f>SUBTOTAL(9,P34:P45)</f>
        <v>3473791.8004999999</v>
      </c>
      <c r="Q46" s="42"/>
      <c r="R46" s="42"/>
    </row>
    <row r="47" spans="1:18" outlineLevel="1" x14ac:dyDescent="0.25">
      <c r="A47" s="15"/>
      <c r="I47" s="3" t="str">
        <f t="shared" ref="I47:I54" si="17">IF(ISBLANK(A47),"",IF(ISERROR(VLOOKUP(A47,bdpapeleria,9,FALSE)),"El dato no existe",VLOOKUP(A47,bdpapeleria,9,FALSE)))</f>
        <v/>
      </c>
      <c r="J47" s="14"/>
      <c r="K47" s="14"/>
      <c r="L47" s="6"/>
      <c r="M47" s="6"/>
      <c r="N47" s="47"/>
      <c r="O47" s="6"/>
      <c r="P47" s="7"/>
      <c r="Q47" s="7" t="str">
        <f t="shared" ref="Q47:Q54" si="18">IF(ISBLANK(A47),"",IF(ISERROR(VLOOKUP(A47,bdpapeleria,11,FALSE)),"El dato no existe",VLOOKUP(A47,bdpapeleria,11,FALSE)))</f>
        <v/>
      </c>
      <c r="R47" s="42"/>
    </row>
    <row r="48" spans="1:18" outlineLevel="1" x14ac:dyDescent="0.25">
      <c r="I48" s="41" t="str">
        <f t="shared" si="17"/>
        <v/>
      </c>
      <c r="L48" s="52"/>
      <c r="M48" s="52"/>
      <c r="N48" s="53"/>
      <c r="O48" s="52"/>
      <c r="P48" s="43"/>
      <c r="Q48" s="43" t="str">
        <f t="shared" si="18"/>
        <v/>
      </c>
      <c r="R48" s="54"/>
    </row>
    <row r="49" spans="2:18" outlineLevel="1" x14ac:dyDescent="0.25">
      <c r="I49" s="41" t="str">
        <f t="shared" si="17"/>
        <v/>
      </c>
      <c r="L49" s="52"/>
      <c r="M49" s="52"/>
      <c r="N49" s="53"/>
      <c r="O49" s="52"/>
      <c r="P49" s="43"/>
      <c r="Q49" s="43" t="str">
        <f t="shared" si="18"/>
        <v/>
      </c>
      <c r="R49" s="54"/>
    </row>
    <row r="50" spans="2:18" outlineLevel="1" x14ac:dyDescent="0.25">
      <c r="I50" s="41" t="str">
        <f t="shared" si="17"/>
        <v/>
      </c>
      <c r="L50" s="52"/>
      <c r="M50" s="52"/>
      <c r="N50" s="53"/>
      <c r="O50" s="52"/>
      <c r="P50" s="43"/>
      <c r="Q50" s="43" t="str">
        <f t="shared" si="18"/>
        <v/>
      </c>
      <c r="R50" s="54"/>
    </row>
    <row r="51" spans="2:18" outlineLevel="1" x14ac:dyDescent="0.25">
      <c r="I51" s="41" t="str">
        <f t="shared" si="17"/>
        <v/>
      </c>
      <c r="L51" s="52"/>
      <c r="M51" s="52"/>
      <c r="N51" s="53"/>
      <c r="O51" s="52"/>
      <c r="P51" s="43"/>
      <c r="Q51" s="43" t="str">
        <f t="shared" si="18"/>
        <v/>
      </c>
      <c r="R51" s="54"/>
    </row>
    <row r="52" spans="2:18" outlineLevel="1" x14ac:dyDescent="0.25">
      <c r="I52" s="41" t="str">
        <f t="shared" si="17"/>
        <v/>
      </c>
      <c r="L52" s="52"/>
      <c r="M52" s="52"/>
      <c r="N52" s="53"/>
      <c r="O52" s="52"/>
      <c r="P52" s="43"/>
      <c r="Q52" s="43" t="str">
        <f t="shared" si="18"/>
        <v/>
      </c>
      <c r="R52" s="54"/>
    </row>
    <row r="53" spans="2:18" outlineLevel="1" x14ac:dyDescent="0.25">
      <c r="I53" s="41" t="str">
        <f t="shared" si="17"/>
        <v/>
      </c>
      <c r="L53" s="52"/>
      <c r="M53" s="52"/>
      <c r="N53" s="53"/>
      <c r="O53" s="52"/>
      <c r="P53" s="43"/>
      <c r="Q53" s="43" t="str">
        <f t="shared" si="18"/>
        <v/>
      </c>
      <c r="R53" s="54"/>
    </row>
    <row r="54" spans="2:18" outlineLevel="1" x14ac:dyDescent="0.25">
      <c r="C54" s="49"/>
      <c r="D54" s="20"/>
      <c r="E54" s="20"/>
      <c r="I54" s="41" t="str">
        <f t="shared" si="17"/>
        <v/>
      </c>
      <c r="L54" s="52"/>
      <c r="M54" s="52"/>
      <c r="N54" s="53"/>
      <c r="O54" s="52"/>
      <c r="P54" s="43"/>
      <c r="Q54" s="43" t="str">
        <f t="shared" si="18"/>
        <v/>
      </c>
      <c r="R54" s="54"/>
    </row>
    <row r="55" spans="2:18" outlineLevel="1" x14ac:dyDescent="0.25">
      <c r="C55" s="49"/>
      <c r="D55" s="20"/>
      <c r="E55" s="20"/>
      <c r="I55" s="62" t="s">
        <v>165</v>
      </c>
      <c r="L55" s="52"/>
      <c r="M55" s="52">
        <f>SUBTOTAL(9,M7:M54)</f>
        <v>7957042.7000000011</v>
      </c>
      <c r="N55" s="53"/>
      <c r="O55" s="52"/>
      <c r="P55" s="43">
        <f>SUBTOTAL(9,P7:P54)</f>
        <v>9253155.7395000011</v>
      </c>
      <c r="Q55" s="43"/>
      <c r="R55" s="54"/>
    </row>
    <row r="58" spans="2:18" x14ac:dyDescent="0.25">
      <c r="B58" s="3" t="str">
        <f>IF(ISBLANK(A47),"",IF(ISERROR(VLOOKUP(A47,bdpapeleria,2,FALSE)),"El dato no existe",VLOOKUP(A47,bdpapeleria,2,FALSE)))</f>
        <v/>
      </c>
      <c r="C58" s="85" t="s">
        <v>72</v>
      </c>
      <c r="D58" s="85"/>
      <c r="E58" s="85"/>
      <c r="F58" s="85"/>
      <c r="G58" s="85"/>
      <c r="H58" s="85"/>
    </row>
    <row r="59" spans="2:18" x14ac:dyDescent="0.25">
      <c r="B59" s="36" t="s">
        <v>73</v>
      </c>
      <c r="C59" s="40">
        <f>SUM(H7:H45)</f>
        <v>891</v>
      </c>
      <c r="D59" s="48"/>
      <c r="E59" s="45" t="s">
        <v>8</v>
      </c>
      <c r="F59" s="45">
        <v>0.03</v>
      </c>
      <c r="G59" s="44">
        <v>4.4999999999999998E-2</v>
      </c>
      <c r="H59" s="45">
        <v>0.05</v>
      </c>
    </row>
    <row r="60" spans="2:18" x14ac:dyDescent="0.25">
      <c r="B60" s="36" t="s">
        <v>74</v>
      </c>
      <c r="C60" s="55">
        <f>SUM(M7:M45)</f>
        <v>12926505.099999998</v>
      </c>
      <c r="D60" s="20"/>
      <c r="E60" s="50" t="s">
        <v>10</v>
      </c>
      <c r="F60" s="45">
        <v>0.19</v>
      </c>
      <c r="G60" s="51"/>
      <c r="H60" s="51"/>
    </row>
    <row r="61" spans="2:18" x14ac:dyDescent="0.25">
      <c r="B61" s="36" t="s">
        <v>12</v>
      </c>
      <c r="C61" s="55">
        <f>SUM(P7:P45)</f>
        <v>15032519.678500002</v>
      </c>
      <c r="D61" s="20"/>
      <c r="E61" s="50" t="s">
        <v>163</v>
      </c>
      <c r="F61" s="44">
        <v>3.5000000000000003E-2</v>
      </c>
      <c r="G61" s="51"/>
      <c r="H61" s="51"/>
    </row>
    <row r="62" spans="2:18" x14ac:dyDescent="0.25">
      <c r="B62" s="36" t="s">
        <v>75</v>
      </c>
      <c r="C62" s="55">
        <f>AVERAGE(P7:P45)</f>
        <v>385449.22252564109</v>
      </c>
      <c r="D62" s="20"/>
      <c r="E62" s="20"/>
    </row>
    <row r="63" spans="2:18" x14ac:dyDescent="0.25">
      <c r="B63" s="36" t="s">
        <v>76</v>
      </c>
      <c r="C63" s="55">
        <f>MAX(P7:P45)</f>
        <v>1938420.12</v>
      </c>
      <c r="D63" s="20"/>
      <c r="E63" s="20"/>
    </row>
    <row r="64" spans="2:18" x14ac:dyDescent="0.25">
      <c r="B64" s="36" t="s">
        <v>77</v>
      </c>
      <c r="C64" s="55">
        <f>MIN(P7:P45)</f>
        <v>20274.650000000001</v>
      </c>
      <c r="D64" s="20"/>
      <c r="E64" s="20"/>
    </row>
  </sheetData>
  <sortState ref="A7:R44">
    <sortCondition ref="I7:I44"/>
  </sortState>
  <mergeCells count="3">
    <mergeCell ref="A2:P2"/>
    <mergeCell ref="A4:P4"/>
    <mergeCell ref="C58:H58"/>
  </mergeCells>
  <pageMargins left="0.7" right="0.7" top="0.75" bottom="0.75" header="0.3" footer="0.3"/>
  <pageSetup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34" workbookViewId="0">
      <selection activeCell="A6" sqref="A6"/>
    </sheetView>
  </sheetViews>
  <sheetFormatPr baseColWidth="10" defaultRowHeight="15" x14ac:dyDescent="0.25"/>
  <cols>
    <col min="1" max="1" width="11.85546875" customWidth="1"/>
    <col min="2" max="2" width="27.140625" customWidth="1"/>
    <col min="3" max="5" width="30.42578125" customWidth="1"/>
    <col min="6" max="8" width="23.7109375" customWidth="1"/>
    <col min="9" max="9" width="34.5703125" customWidth="1"/>
    <col min="10" max="17" width="23.7109375" customWidth="1"/>
    <col min="18" max="18" width="27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  <c r="R2" s="37"/>
    </row>
    <row r="3" spans="1:18" ht="9.7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3.75" customHeight="1" x14ac:dyDescent="0.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38"/>
      <c r="R4" s="38"/>
    </row>
    <row r="5" spans="1:18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63" t="s">
        <v>2</v>
      </c>
      <c r="B6" s="63" t="s">
        <v>88</v>
      </c>
      <c r="C6" s="63" t="s">
        <v>3</v>
      </c>
      <c r="D6" s="63" t="s">
        <v>90</v>
      </c>
      <c r="E6" s="63" t="s">
        <v>89</v>
      </c>
      <c r="F6" s="63" t="s">
        <v>22</v>
      </c>
      <c r="G6" s="63" t="s">
        <v>4</v>
      </c>
      <c r="H6" s="63" t="s">
        <v>5</v>
      </c>
      <c r="I6" s="63" t="s">
        <v>162</v>
      </c>
      <c r="J6" s="63" t="s">
        <v>6</v>
      </c>
      <c r="K6" s="63" t="s">
        <v>7</v>
      </c>
      <c r="L6" s="63" t="s">
        <v>8</v>
      </c>
      <c r="M6" s="63" t="s">
        <v>9</v>
      </c>
      <c r="N6" s="63" t="s">
        <v>10</v>
      </c>
      <c r="O6" s="63" t="s">
        <v>11</v>
      </c>
      <c r="P6" s="63" t="s">
        <v>12</v>
      </c>
      <c r="Q6" s="63" t="s">
        <v>91</v>
      </c>
      <c r="R6" s="63" t="s">
        <v>71</v>
      </c>
    </row>
    <row r="7" spans="1:18" ht="39" customHeight="1" x14ac:dyDescent="0.25">
      <c r="A7" s="3">
        <v>701</v>
      </c>
      <c r="B7" s="3" t="str">
        <f t="shared" ref="B7:B36" si="0">IF(ISBLANK(A7),"",IF(ISERROR(VLOOKUP(A7,bdpapeleria,2,FALSE)),"El dato no existe",VLOOKUP(A7,bdpapeleria,2,FALSE)))</f>
        <v>890980134-1</v>
      </c>
      <c r="C7" s="39" t="str">
        <f>IF(ISBLANK(A7),"",IF(ISERROR(VLOOKUP(A7,bdpapeleria,3,FALSE)),"El dato no existe",VLOOKUP(A7,bdpapeleria,3,FALSE)))</f>
        <v>COLEGIO MAYOR DE ANTIOQUIA</v>
      </c>
      <c r="D7" s="40">
        <f t="shared" ref="D7:D36" si="1">IF(ISBLANK(A7),"",IF(ISERROR(VLOOKUP(A7,bdpapeleria,4,FALSE)),"El dato no existe",VLOOKUP(A7,bdpapeleria,4,FALSE)))</f>
        <v>4445611</v>
      </c>
      <c r="E7" s="3" t="str">
        <f t="shared" ref="E7:E36" si="2">IF(ISBLANK(A7),"",IF(ISERROR(VLOOKUP(A7,bdpapeleria,5,FALSE)),"El dato no existe",VLOOKUP(A7,bdpapeleria,5,FALSE)))</f>
        <v>Carrera 78 N° 65-46</v>
      </c>
      <c r="F7" s="3" t="str">
        <f t="shared" ref="F7:F35" si="3">IF(ISBLANK(A7),"",IF(ISERROR(VLOOKUP(A7,bdpapeleria,6,FALSE)),"El dato no existe",VLOOKUP(A7,bdpapeleria,6,FALSE)))</f>
        <v>Antioquia</v>
      </c>
      <c r="G7" s="39" t="str">
        <f t="shared" ref="G7:G36" si="4">IF(ISBLANK(A7),"",IF(ISERROR(VLOOKUP(A7,bdpapeleria,7,FALSE)),"El dato no existe",VLOOKUP(A7,bdpapeleria,7,FALSE)))</f>
        <v xml:space="preserve">CAJA DE RESMAS TAMAÑO OFICIO </v>
      </c>
      <c r="H7" s="3">
        <f t="shared" ref="H7:H36" si="5">IF(ISBLANK(A7),"",IF(ISERROR(VLOOKUP(A7,bdpapeleria,8,FALSE)),"El dato no existe",VLOOKUP(A7,bdpapeleria,8,FALSE)))</f>
        <v>35</v>
      </c>
      <c r="I7" s="3">
        <f t="shared" ref="I7:I44" si="6">IF(ISBLANK(A7),"",IF(ISERROR(VLOOKUP(A7,bdpapeleria,9,FALSE)),"El dato no existe",VLOOKUP(A7,bdpapeleria,9,FALSE)))</f>
        <v>8</v>
      </c>
      <c r="J7" s="3">
        <f t="shared" ref="J7:J36" si="7">IF(ISBLANK(A7),"",IF(ISERROR(VLOOKUP(A7,bdpapeleria,10,FALSE)),"El dato no existe",VLOOKUP(A7,bdpapeleria,10,FALSE)))</f>
        <v>34890</v>
      </c>
      <c r="K7" s="6">
        <f>J7*H7</f>
        <v>1221150</v>
      </c>
      <c r="L7" s="6">
        <f t="shared" ref="L7:L36" si="8">IF(AND(H7&gt;=10,H7&lt;=20),K7*$F$48,IF(AND(H7&gt;=21,H7&lt;=30),K7*$G$48,K7*$H$48))</f>
        <v>61057.5</v>
      </c>
      <c r="M7" s="46">
        <f>K7-L7</f>
        <v>1160092.5</v>
      </c>
      <c r="N7" s="47">
        <f t="shared" ref="N7:N36" si="9">IF(M7&gt;=90000,M7*$F$49,M7*0%)</f>
        <v>220417.57500000001</v>
      </c>
      <c r="O7" s="6">
        <f t="shared" ref="O7:O36" si="10">IF(M7&lt;=400000,M7*$F$50,M7*0%)</f>
        <v>0</v>
      </c>
      <c r="P7" s="42">
        <f>M7+N7-O7</f>
        <v>1380510.075</v>
      </c>
      <c r="Q7" s="42" t="str">
        <f t="shared" ref="Q7:Q44" si="11">IF(ISBLANK(A7),"",IF(ISERROR(VLOOKUP(A7,bdpapeleria,11,FALSE)),"El dato no existe",VLOOKUP(A7,bdpapeleria,11,FALSE)))</f>
        <v>CONTADO</v>
      </c>
      <c r="R7" s="42" t="str">
        <f>IF(I7&gt;=15,"Mala Demanda","Buena Demanda")</f>
        <v>Buena Demanda</v>
      </c>
    </row>
    <row r="8" spans="1:18" ht="40.5" customHeight="1" x14ac:dyDescent="0.25">
      <c r="A8" s="3">
        <v>702</v>
      </c>
      <c r="B8" s="3" t="str">
        <f t="shared" si="0"/>
        <v>890480054-5</v>
      </c>
      <c r="C8" s="39" t="str">
        <f t="shared" ref="C8:C36" si="12">IF(ISBLANK(A8),"",IF(ISERROR(VLOOKUP(A8,bdpapeleria,3,FALSE)),"El dato no existe",VLOOKUP(A8,bdpapeleria,3,FALSE)))</f>
        <v xml:space="preserve">CORPORACION CENTRO TÉCNICO ARQUITETÓNICO </v>
      </c>
      <c r="D8" s="4">
        <f t="shared" si="1"/>
        <v>3293333</v>
      </c>
      <c r="E8" s="4" t="str">
        <f t="shared" si="2"/>
        <v>Avda 30 de Agosto N° 52-236</v>
      </c>
      <c r="F8" s="3" t="str">
        <f t="shared" si="3"/>
        <v>Risaralda</v>
      </c>
      <c r="G8" s="39" t="str">
        <f t="shared" si="4"/>
        <v xml:space="preserve">CAJA DE RESMAS TAMAÑO CARTA X 15 </v>
      </c>
      <c r="H8" s="3">
        <f t="shared" si="5"/>
        <v>20</v>
      </c>
      <c r="I8" s="3">
        <f t="shared" si="6"/>
        <v>15</v>
      </c>
      <c r="J8" s="3">
        <f t="shared" si="7"/>
        <v>25678</v>
      </c>
      <c r="K8" s="6">
        <f t="shared" ref="K8:K36" si="13">J8*H8</f>
        <v>513560</v>
      </c>
      <c r="L8" s="6">
        <f t="shared" si="8"/>
        <v>15406.8</v>
      </c>
      <c r="M8" s="46">
        <f>K8-L8</f>
        <v>498153.2</v>
      </c>
      <c r="N8" s="47">
        <f t="shared" si="9"/>
        <v>94649.108000000007</v>
      </c>
      <c r="O8" s="6">
        <f t="shared" si="10"/>
        <v>0</v>
      </c>
      <c r="P8" s="42">
        <f t="shared" ref="P8:P36" si="14">M8+N8-O8</f>
        <v>592802.30799999996</v>
      </c>
      <c r="Q8" s="42" t="str">
        <f t="shared" si="11"/>
        <v>CONTADO</v>
      </c>
      <c r="R8" s="42" t="str">
        <f t="shared" ref="R8:R36" si="15">IF(I8&gt;=15,"Mala Demanda","Buena Demanda")</f>
        <v>Mala Demanda</v>
      </c>
    </row>
    <row r="9" spans="1:18" ht="34.5" customHeight="1" x14ac:dyDescent="0.25">
      <c r="A9" s="3">
        <v>703</v>
      </c>
      <c r="B9" s="3" t="str">
        <f t="shared" si="0"/>
        <v>891411199-3</v>
      </c>
      <c r="C9" s="39" t="str">
        <f t="shared" si="12"/>
        <v>CORPORACIÓN EDUCATIVA -ITAE-</v>
      </c>
      <c r="D9" s="4">
        <f t="shared" si="1"/>
        <v>6642484</v>
      </c>
      <c r="E9" s="4" t="str">
        <f t="shared" si="2"/>
        <v>Centro Carrera 3 Calle de la factoria N°35-95</v>
      </c>
      <c r="F9" s="3" t="str">
        <f t="shared" si="3"/>
        <v>Bolivar</v>
      </c>
      <c r="G9" s="39" t="str">
        <f t="shared" si="4"/>
        <v xml:space="preserve">TALONARIO DE CAJA MENOR </v>
      </c>
      <c r="H9" s="3">
        <f t="shared" si="5"/>
        <v>40</v>
      </c>
      <c r="I9" s="3">
        <f t="shared" si="6"/>
        <v>10</v>
      </c>
      <c r="J9" s="3">
        <f t="shared" si="7"/>
        <v>900</v>
      </c>
      <c r="K9" s="6">
        <f t="shared" si="13"/>
        <v>36000</v>
      </c>
      <c r="L9" s="6">
        <f t="shared" si="8"/>
        <v>1800</v>
      </c>
      <c r="M9" s="46">
        <f t="shared" ref="M9:M36" si="16">K9-L9</f>
        <v>34200</v>
      </c>
      <c r="N9" s="47">
        <f t="shared" si="9"/>
        <v>0</v>
      </c>
      <c r="O9" s="6">
        <f t="shared" si="10"/>
        <v>1197.0000000000002</v>
      </c>
      <c r="P9" s="42">
        <f t="shared" si="14"/>
        <v>33003</v>
      </c>
      <c r="Q9" s="42" t="str">
        <f t="shared" si="11"/>
        <v>CRÉDITO</v>
      </c>
      <c r="R9" s="42" t="str">
        <f t="shared" si="15"/>
        <v>Buena Demanda</v>
      </c>
    </row>
    <row r="10" spans="1:18" ht="34.5" customHeight="1" x14ac:dyDescent="0.25">
      <c r="A10" s="3">
        <v>704</v>
      </c>
      <c r="B10" s="3" t="str">
        <f t="shared" si="0"/>
        <v>8900704562-9</v>
      </c>
      <c r="C10" s="39" t="str">
        <f t="shared" si="12"/>
        <v>CORPORACIÓN ESCUELA DE ARTES Y LETRAS</v>
      </c>
      <c r="D10" s="4">
        <f t="shared" si="1"/>
        <v>2134421</v>
      </c>
      <c r="E10" s="4" t="str">
        <f t="shared" si="2"/>
        <v xml:space="preserve">Calle 10 N° 29-93 </v>
      </c>
      <c r="F10" s="3" t="str">
        <f t="shared" si="3"/>
        <v>Tolima</v>
      </c>
      <c r="G10" s="39" t="str">
        <f t="shared" si="4"/>
        <v>CUADERNO ARGOLLADO</v>
      </c>
      <c r="H10" s="3">
        <f t="shared" si="5"/>
        <v>22</v>
      </c>
      <c r="I10" s="3">
        <f t="shared" si="6"/>
        <v>8</v>
      </c>
      <c r="J10" s="3">
        <f t="shared" si="7"/>
        <v>10900</v>
      </c>
      <c r="K10" s="6">
        <f t="shared" si="13"/>
        <v>239800</v>
      </c>
      <c r="L10" s="6">
        <f t="shared" si="8"/>
        <v>10791</v>
      </c>
      <c r="M10" s="46">
        <f t="shared" si="16"/>
        <v>229009</v>
      </c>
      <c r="N10" s="47">
        <f t="shared" si="9"/>
        <v>43511.71</v>
      </c>
      <c r="O10" s="6">
        <f t="shared" si="10"/>
        <v>8015.3150000000005</v>
      </c>
      <c r="P10" s="42">
        <f t="shared" si="14"/>
        <v>264505.39500000002</v>
      </c>
      <c r="Q10" s="42" t="str">
        <f t="shared" si="11"/>
        <v>CRÉDITO</v>
      </c>
      <c r="R10" s="42" t="str">
        <f t="shared" si="15"/>
        <v>Buena Demanda</v>
      </c>
    </row>
    <row r="11" spans="1:18" ht="34.5" customHeight="1" x14ac:dyDescent="0.25">
      <c r="A11" s="3">
        <v>705</v>
      </c>
      <c r="B11" s="3" t="str">
        <f t="shared" si="0"/>
        <v>890203706-2</v>
      </c>
      <c r="C11" s="39" t="str">
        <f t="shared" si="12"/>
        <v>UNIVERSIDAD CATÓLICA LUIS AMIGÓ</v>
      </c>
      <c r="D11" s="4">
        <f t="shared" si="1"/>
        <v>6525202</v>
      </c>
      <c r="E11" s="4" t="str">
        <f t="shared" si="2"/>
        <v>Calle 10 N° 3-95</v>
      </c>
      <c r="F11" s="3" t="str">
        <f t="shared" si="3"/>
        <v>Antioquia</v>
      </c>
      <c r="G11" s="39" t="str">
        <f t="shared" si="4"/>
        <v>CARPETAS PARA ARCHIVO TAMAÑO OFICIO</v>
      </c>
      <c r="H11" s="3">
        <f t="shared" si="5"/>
        <v>43</v>
      </c>
      <c r="I11" s="3">
        <f t="shared" si="6"/>
        <v>30</v>
      </c>
      <c r="J11" s="3">
        <f t="shared" si="7"/>
        <v>7100</v>
      </c>
      <c r="K11" s="6">
        <f t="shared" si="13"/>
        <v>305300</v>
      </c>
      <c r="L11" s="6">
        <f t="shared" si="8"/>
        <v>15265</v>
      </c>
      <c r="M11" s="46">
        <f t="shared" si="16"/>
        <v>290035</v>
      </c>
      <c r="N11" s="47">
        <f t="shared" si="9"/>
        <v>55106.65</v>
      </c>
      <c r="O11" s="6">
        <f t="shared" si="10"/>
        <v>10151.225</v>
      </c>
      <c r="P11" s="42">
        <f t="shared" si="14"/>
        <v>334990.42500000005</v>
      </c>
      <c r="Q11" s="42" t="str">
        <f t="shared" si="11"/>
        <v>CRÉDITO</v>
      </c>
      <c r="R11" s="42" t="str">
        <f t="shared" si="15"/>
        <v>Mala Demanda</v>
      </c>
    </row>
    <row r="12" spans="1:18" ht="34.5" customHeight="1" x14ac:dyDescent="0.25">
      <c r="A12" s="3">
        <v>706</v>
      </c>
      <c r="B12" s="3" t="str">
        <f t="shared" si="0"/>
        <v>891408248-5</v>
      </c>
      <c r="C12" s="39" t="str">
        <f t="shared" si="12"/>
        <v>CORPORACIÓN JOHN F.KENNEDY</v>
      </c>
      <c r="D12" s="4">
        <f t="shared" si="1"/>
        <v>6505400</v>
      </c>
      <c r="E12" s="4" t="str">
        <f t="shared" si="2"/>
        <v>Calle 74 N° 11-92</v>
      </c>
      <c r="F12" s="3" t="str">
        <f t="shared" si="3"/>
        <v>Cundinamarca</v>
      </c>
      <c r="G12" s="39" t="str">
        <f t="shared" si="4"/>
        <v>CAJA DE COLORES NORMA</v>
      </c>
      <c r="H12" s="3">
        <f t="shared" si="5"/>
        <v>12</v>
      </c>
      <c r="I12" s="3">
        <f t="shared" si="6"/>
        <v>5</v>
      </c>
      <c r="J12" s="3">
        <f t="shared" si="7"/>
        <v>9500</v>
      </c>
      <c r="K12" s="6">
        <f t="shared" si="13"/>
        <v>114000</v>
      </c>
      <c r="L12" s="6">
        <f t="shared" si="8"/>
        <v>3420</v>
      </c>
      <c r="M12" s="46">
        <f t="shared" si="16"/>
        <v>110580</v>
      </c>
      <c r="N12" s="47">
        <f t="shared" si="9"/>
        <v>21010.2</v>
      </c>
      <c r="O12" s="6">
        <f t="shared" si="10"/>
        <v>3870.3</v>
      </c>
      <c r="P12" s="42">
        <f t="shared" si="14"/>
        <v>127719.90000000001</v>
      </c>
      <c r="Q12" s="42" t="str">
        <f t="shared" si="11"/>
        <v>CONTADO</v>
      </c>
      <c r="R12" s="42" t="str">
        <f t="shared" si="15"/>
        <v>Buena Demanda</v>
      </c>
    </row>
    <row r="13" spans="1:18" ht="34.5" customHeight="1" x14ac:dyDescent="0.25">
      <c r="A13" s="3">
        <v>707</v>
      </c>
      <c r="B13" s="3" t="str">
        <f t="shared" si="0"/>
        <v>860066098-5</v>
      </c>
      <c r="C13" s="39" t="str">
        <f t="shared" si="12"/>
        <v>CORPORACIÓN UNVIERSITARIA CENDA</v>
      </c>
      <c r="D13" s="4">
        <f t="shared" si="1"/>
        <v>3400100</v>
      </c>
      <c r="E13" s="4" t="str">
        <f t="shared" si="2"/>
        <v>Carrera 14 N° 12-42</v>
      </c>
      <c r="F13" s="3" t="str">
        <f t="shared" si="3"/>
        <v>Risaralda</v>
      </c>
      <c r="G13" s="39" t="str">
        <f t="shared" si="4"/>
        <v>VINILOS PRISMACOLOR</v>
      </c>
      <c r="H13" s="3">
        <f t="shared" si="5"/>
        <v>25</v>
      </c>
      <c r="I13" s="3">
        <f t="shared" si="6"/>
        <v>3</v>
      </c>
      <c r="J13" s="3">
        <f t="shared" si="7"/>
        <v>1000</v>
      </c>
      <c r="K13" s="6">
        <f t="shared" si="13"/>
        <v>25000</v>
      </c>
      <c r="L13" s="6">
        <f t="shared" si="8"/>
        <v>1125</v>
      </c>
      <c r="M13" s="46">
        <f t="shared" si="16"/>
        <v>23875</v>
      </c>
      <c r="N13" s="47">
        <f t="shared" si="9"/>
        <v>0</v>
      </c>
      <c r="O13" s="6">
        <f t="shared" si="10"/>
        <v>835.62500000000011</v>
      </c>
      <c r="P13" s="42">
        <f t="shared" si="14"/>
        <v>23039.375</v>
      </c>
      <c r="Q13" s="42" t="str">
        <f t="shared" si="11"/>
        <v>CONTADO</v>
      </c>
      <c r="R13" s="42" t="str">
        <f t="shared" si="15"/>
        <v>Buena Demanda</v>
      </c>
    </row>
    <row r="14" spans="1:18" ht="34.5" customHeight="1" x14ac:dyDescent="0.25">
      <c r="A14" s="3">
        <v>708</v>
      </c>
      <c r="B14" s="3" t="str">
        <f t="shared" si="0"/>
        <v>860504543-1</v>
      </c>
      <c r="C14" s="39" t="str">
        <f t="shared" si="12"/>
        <v>CORPORACIÓN UNIVERSITARIA MARÍA</v>
      </c>
      <c r="D14" s="4">
        <f t="shared" si="1"/>
        <v>5446573</v>
      </c>
      <c r="E14" s="4" t="str">
        <f t="shared" si="2"/>
        <v>Carrera 23 N° 63-36</v>
      </c>
      <c r="F14" s="3" t="str">
        <f t="shared" si="3"/>
        <v>Risaralda</v>
      </c>
      <c r="G14" s="39" t="str">
        <f t="shared" si="4"/>
        <v>LIBRO CONTABLE</v>
      </c>
      <c r="H14" s="3">
        <f t="shared" si="5"/>
        <v>15</v>
      </c>
      <c r="I14" s="3">
        <f t="shared" si="6"/>
        <v>30</v>
      </c>
      <c r="J14" s="3">
        <f t="shared" si="7"/>
        <v>4500</v>
      </c>
      <c r="K14" s="6">
        <f t="shared" si="13"/>
        <v>67500</v>
      </c>
      <c r="L14" s="6">
        <f t="shared" si="8"/>
        <v>2025</v>
      </c>
      <c r="M14" s="46">
        <f t="shared" si="16"/>
        <v>65475</v>
      </c>
      <c r="N14" s="47">
        <f t="shared" si="9"/>
        <v>0</v>
      </c>
      <c r="O14" s="6">
        <f t="shared" si="10"/>
        <v>2291.625</v>
      </c>
      <c r="P14" s="42">
        <f t="shared" si="14"/>
        <v>63183.375</v>
      </c>
      <c r="Q14" s="42" t="str">
        <f t="shared" si="11"/>
        <v>CONTADO</v>
      </c>
      <c r="R14" s="42" t="str">
        <f t="shared" si="15"/>
        <v>Mala Demanda</v>
      </c>
    </row>
    <row r="15" spans="1:18" ht="34.5" customHeight="1" x14ac:dyDescent="0.25">
      <c r="A15" s="3">
        <v>709</v>
      </c>
      <c r="B15" s="3" t="str">
        <f t="shared" si="0"/>
        <v>8605008517-8</v>
      </c>
      <c r="C15" s="39" t="str">
        <f t="shared" si="12"/>
        <v>UNIVERSIDAD ECCI</v>
      </c>
      <c r="D15" s="4">
        <f t="shared" si="1"/>
        <v>3689618</v>
      </c>
      <c r="E15" s="4" t="str">
        <f t="shared" si="2"/>
        <v>Calle 41 N° 27A-56</v>
      </c>
      <c r="F15" s="3" t="str">
        <f t="shared" si="3"/>
        <v>Bolivar</v>
      </c>
      <c r="G15" s="39" t="str">
        <f t="shared" si="4"/>
        <v>CAJA DE COLORES NORMA</v>
      </c>
      <c r="H15" s="3">
        <f t="shared" si="5"/>
        <v>28</v>
      </c>
      <c r="I15" s="3">
        <f t="shared" si="6"/>
        <v>8</v>
      </c>
      <c r="J15" s="3">
        <f t="shared" si="7"/>
        <v>9500</v>
      </c>
      <c r="K15" s="6">
        <f t="shared" si="13"/>
        <v>266000</v>
      </c>
      <c r="L15" s="6">
        <f t="shared" si="8"/>
        <v>11970</v>
      </c>
      <c r="M15" s="46">
        <f t="shared" si="16"/>
        <v>254030</v>
      </c>
      <c r="N15" s="47">
        <f t="shared" si="9"/>
        <v>48265.7</v>
      </c>
      <c r="O15" s="6">
        <f t="shared" si="10"/>
        <v>8891.0500000000011</v>
      </c>
      <c r="P15" s="42">
        <f t="shared" si="14"/>
        <v>293404.65000000002</v>
      </c>
      <c r="Q15" s="42" t="str">
        <f t="shared" si="11"/>
        <v>CRÉDITO</v>
      </c>
      <c r="R15" s="42" t="str">
        <f t="shared" si="15"/>
        <v>Buena Demanda</v>
      </c>
    </row>
    <row r="16" spans="1:18" ht="34.5" customHeight="1" x14ac:dyDescent="0.25">
      <c r="A16" s="3">
        <v>710</v>
      </c>
      <c r="B16" s="3" t="str">
        <f t="shared" si="0"/>
        <v>890985856-3</v>
      </c>
      <c r="C16" s="39" t="str">
        <f t="shared" si="12"/>
        <v>ESCUELA COLOMBIANA DE  INGENIERIA</v>
      </c>
      <c r="D16" s="4">
        <f t="shared" si="1"/>
        <v>2451333</v>
      </c>
      <c r="E16" s="4" t="str">
        <f t="shared" si="2"/>
        <v>Calle 46 N° 13-43</v>
      </c>
      <c r="F16" s="3" t="str">
        <f t="shared" si="3"/>
        <v>Valle del Cauca</v>
      </c>
      <c r="G16" s="39" t="str">
        <f t="shared" si="4"/>
        <v xml:space="preserve">CAJA DE RESMAS TAMAÑO OFICIO </v>
      </c>
      <c r="H16" s="3">
        <f t="shared" si="5"/>
        <v>35</v>
      </c>
      <c r="I16" s="3">
        <f t="shared" si="6"/>
        <v>6</v>
      </c>
      <c r="J16" s="3">
        <f t="shared" si="7"/>
        <v>34890</v>
      </c>
      <c r="K16" s="6">
        <f t="shared" si="13"/>
        <v>1221150</v>
      </c>
      <c r="L16" s="6">
        <f t="shared" si="8"/>
        <v>61057.5</v>
      </c>
      <c r="M16" s="46">
        <f t="shared" si="16"/>
        <v>1160092.5</v>
      </c>
      <c r="N16" s="47">
        <f t="shared" si="9"/>
        <v>220417.57500000001</v>
      </c>
      <c r="O16" s="6">
        <f t="shared" si="10"/>
        <v>0</v>
      </c>
      <c r="P16" s="42">
        <f t="shared" si="14"/>
        <v>1380510.075</v>
      </c>
      <c r="Q16" s="42" t="str">
        <f t="shared" si="11"/>
        <v>CRÉDITO</v>
      </c>
      <c r="R16" s="42" t="str">
        <f t="shared" si="15"/>
        <v>Buena Demanda</v>
      </c>
    </row>
    <row r="17" spans="1:18" ht="34.5" customHeight="1" x14ac:dyDescent="0.25">
      <c r="A17" s="3">
        <v>711</v>
      </c>
      <c r="B17" s="3" t="str">
        <f t="shared" si="0"/>
        <v>800003863-5</v>
      </c>
      <c r="C17" s="39" t="str">
        <f t="shared" si="12"/>
        <v>ESCUELA NACIONAL DE DEPORTE</v>
      </c>
      <c r="D17" s="4">
        <f t="shared" si="1"/>
        <v>2826786</v>
      </c>
      <c r="E17" s="4" t="str">
        <f t="shared" si="2"/>
        <v>Calle 19 N° 3-16</v>
      </c>
      <c r="F17" s="3" t="str">
        <f t="shared" si="3"/>
        <v>Santander</v>
      </c>
      <c r="G17" s="39" t="str">
        <f t="shared" si="4"/>
        <v>LIBRO CONTABLE</v>
      </c>
      <c r="H17" s="3">
        <f t="shared" si="5"/>
        <v>45</v>
      </c>
      <c r="I17" s="3">
        <f t="shared" si="6"/>
        <v>30</v>
      </c>
      <c r="J17" s="3">
        <f t="shared" si="7"/>
        <v>4500</v>
      </c>
      <c r="K17" s="6">
        <f t="shared" si="13"/>
        <v>202500</v>
      </c>
      <c r="L17" s="6">
        <f t="shared" si="8"/>
        <v>10125</v>
      </c>
      <c r="M17" s="46">
        <f t="shared" si="16"/>
        <v>192375</v>
      </c>
      <c r="N17" s="47">
        <f t="shared" si="9"/>
        <v>36551.25</v>
      </c>
      <c r="O17" s="6">
        <f t="shared" si="10"/>
        <v>6733.1250000000009</v>
      </c>
      <c r="P17" s="42">
        <f t="shared" si="14"/>
        <v>222193.125</v>
      </c>
      <c r="Q17" s="42" t="str">
        <f t="shared" si="11"/>
        <v>CONTADO</v>
      </c>
      <c r="R17" s="42" t="str">
        <f t="shared" si="15"/>
        <v>Mala Demanda</v>
      </c>
    </row>
    <row r="18" spans="1:18" ht="34.5" customHeight="1" x14ac:dyDescent="0.25">
      <c r="A18" s="3">
        <v>712</v>
      </c>
      <c r="B18" s="3" t="str">
        <f t="shared" si="0"/>
        <v>860401734-9</v>
      </c>
      <c r="C18" s="39" t="str">
        <f t="shared" si="12"/>
        <v>UNIVERSIDAD NACIONAL</v>
      </c>
      <c r="D18" s="4">
        <f t="shared" si="1"/>
        <v>4500040</v>
      </c>
      <c r="E18" s="4" t="str">
        <f t="shared" si="2"/>
        <v>Calle 48 N° 50-30</v>
      </c>
      <c r="F18" s="3" t="str">
        <f t="shared" si="3"/>
        <v>Antioquia</v>
      </c>
      <c r="G18" s="39" t="str">
        <f t="shared" si="4"/>
        <v>ROLLOS PARA IMPRESORA DE CAJA X 6 U.</v>
      </c>
      <c r="H18" s="3">
        <f t="shared" si="5"/>
        <v>42</v>
      </c>
      <c r="I18" s="3">
        <f t="shared" si="6"/>
        <v>4</v>
      </c>
      <c r="J18" s="3">
        <f t="shared" si="7"/>
        <v>7654</v>
      </c>
      <c r="K18" s="6">
        <f t="shared" si="13"/>
        <v>321468</v>
      </c>
      <c r="L18" s="6">
        <f t="shared" si="8"/>
        <v>16073.400000000001</v>
      </c>
      <c r="M18" s="46">
        <f t="shared" si="16"/>
        <v>305394.59999999998</v>
      </c>
      <c r="N18" s="47">
        <f t="shared" si="9"/>
        <v>58024.973999999995</v>
      </c>
      <c r="O18" s="6">
        <f t="shared" si="10"/>
        <v>10688.811</v>
      </c>
      <c r="P18" s="42">
        <f t="shared" si="14"/>
        <v>352730.76299999998</v>
      </c>
      <c r="Q18" s="42" t="str">
        <f t="shared" si="11"/>
        <v>CONTADO</v>
      </c>
      <c r="R18" s="42" t="str">
        <f t="shared" si="15"/>
        <v>Buena Demanda</v>
      </c>
    </row>
    <row r="19" spans="1:18" ht="46.5" customHeight="1" x14ac:dyDescent="0.25">
      <c r="A19" s="3">
        <v>713</v>
      </c>
      <c r="B19" s="3" t="str">
        <f t="shared" si="0"/>
        <v>864366098-5</v>
      </c>
      <c r="C19" s="39" t="str">
        <f t="shared" si="12"/>
        <v xml:space="preserve">FUNDACIÓN UNIVERSITARIA AUTONOMA </v>
      </c>
      <c r="D19" s="4">
        <f t="shared" si="1"/>
        <v>3078180</v>
      </c>
      <c r="E19" s="4" t="str">
        <f t="shared" si="2"/>
        <v>Calle 34 N° 15-36</v>
      </c>
      <c r="F19" s="3" t="str">
        <f t="shared" si="3"/>
        <v>Risaralda</v>
      </c>
      <c r="G19" s="39" t="str">
        <f t="shared" si="4"/>
        <v>ROLLOS PARA IMPRESORA DE CAJA X 6 U.</v>
      </c>
      <c r="H19" s="3">
        <f t="shared" si="5"/>
        <v>20</v>
      </c>
      <c r="I19" s="3">
        <f t="shared" si="6"/>
        <v>4</v>
      </c>
      <c r="J19" s="3">
        <f t="shared" si="7"/>
        <v>7654</v>
      </c>
      <c r="K19" s="6">
        <f t="shared" si="13"/>
        <v>153080</v>
      </c>
      <c r="L19" s="6">
        <f t="shared" si="8"/>
        <v>4592.3999999999996</v>
      </c>
      <c r="M19" s="46">
        <f t="shared" si="16"/>
        <v>148487.6</v>
      </c>
      <c r="N19" s="47">
        <f t="shared" si="9"/>
        <v>28212.644</v>
      </c>
      <c r="O19" s="6">
        <f t="shared" si="10"/>
        <v>5197.0660000000007</v>
      </c>
      <c r="P19" s="42">
        <f t="shared" si="14"/>
        <v>171503.17800000001</v>
      </c>
      <c r="Q19" s="42" t="str">
        <f t="shared" si="11"/>
        <v>CRÉDITO</v>
      </c>
      <c r="R19" s="42" t="str">
        <f t="shared" si="15"/>
        <v>Buena Demanda</v>
      </c>
    </row>
    <row r="20" spans="1:18" ht="34.5" customHeight="1" x14ac:dyDescent="0.25">
      <c r="A20" s="3">
        <v>714</v>
      </c>
      <c r="B20" s="3" t="str">
        <f t="shared" si="0"/>
        <v>862504543-1</v>
      </c>
      <c r="C20" s="39" t="str">
        <f t="shared" si="12"/>
        <v>CORPORACION ARTES Y OFICIOS</v>
      </c>
      <c r="D20" s="4">
        <f t="shared" si="1"/>
        <v>2321617</v>
      </c>
      <c r="E20" s="4" t="str">
        <f t="shared" si="2"/>
        <v>Calle 33 N° 11-50</v>
      </c>
      <c r="F20" s="3" t="str">
        <f t="shared" si="3"/>
        <v>Nariño</v>
      </c>
      <c r="G20" s="39" t="str">
        <f t="shared" si="4"/>
        <v>BLOCK TAMAÑO CARTA</v>
      </c>
      <c r="H20" s="3">
        <f t="shared" si="5"/>
        <v>29</v>
      </c>
      <c r="I20" s="3">
        <f t="shared" si="6"/>
        <v>2</v>
      </c>
      <c r="J20" s="3">
        <f t="shared" si="7"/>
        <v>2400</v>
      </c>
      <c r="K20" s="6">
        <f t="shared" si="13"/>
        <v>69600</v>
      </c>
      <c r="L20" s="6">
        <f t="shared" si="8"/>
        <v>3132</v>
      </c>
      <c r="M20" s="46">
        <f t="shared" si="16"/>
        <v>66468</v>
      </c>
      <c r="N20" s="47">
        <f t="shared" si="9"/>
        <v>0</v>
      </c>
      <c r="O20" s="6">
        <f t="shared" si="10"/>
        <v>2326.38</v>
      </c>
      <c r="P20" s="42">
        <f t="shared" si="14"/>
        <v>64141.62</v>
      </c>
      <c r="Q20" s="42" t="str">
        <f t="shared" si="11"/>
        <v>CONTADO</v>
      </c>
      <c r="R20" s="42" t="str">
        <f t="shared" si="15"/>
        <v>Buena Demanda</v>
      </c>
    </row>
    <row r="21" spans="1:18" ht="34.5" customHeight="1" x14ac:dyDescent="0.25">
      <c r="A21" s="3">
        <v>715</v>
      </c>
      <c r="B21" s="3" t="str">
        <f t="shared" si="0"/>
        <v>8607108517-8</v>
      </c>
      <c r="C21" s="39" t="str">
        <f t="shared" si="12"/>
        <v>CASA DE LA CULTURA PEDRITO RUIZ</v>
      </c>
      <c r="D21" s="4">
        <f t="shared" si="1"/>
        <v>3232964</v>
      </c>
      <c r="E21" s="4" t="str">
        <f t="shared" si="2"/>
        <v>Carrera 9 N° 45 A-44</v>
      </c>
      <c r="F21" s="3" t="str">
        <f t="shared" si="3"/>
        <v>Valle del Cauca</v>
      </c>
      <c r="G21" s="39" t="str">
        <f t="shared" si="4"/>
        <v>GRAPADORA MEDIANA</v>
      </c>
      <c r="H21" s="3">
        <f t="shared" si="5"/>
        <v>30</v>
      </c>
      <c r="I21" s="3">
        <f t="shared" si="6"/>
        <v>30</v>
      </c>
      <c r="J21" s="3">
        <f t="shared" si="7"/>
        <v>4708</v>
      </c>
      <c r="K21" s="6">
        <f t="shared" si="13"/>
        <v>141240</v>
      </c>
      <c r="L21" s="6">
        <f t="shared" si="8"/>
        <v>6355.8</v>
      </c>
      <c r="M21" s="46">
        <f t="shared" si="16"/>
        <v>134884.20000000001</v>
      </c>
      <c r="N21" s="47">
        <f t="shared" si="9"/>
        <v>25627.998000000003</v>
      </c>
      <c r="O21" s="6">
        <f t="shared" si="10"/>
        <v>4720.947000000001</v>
      </c>
      <c r="P21" s="42">
        <f t="shared" si="14"/>
        <v>155791.25099999999</v>
      </c>
      <c r="Q21" s="42" t="str">
        <f t="shared" si="11"/>
        <v>CRÉDITO</v>
      </c>
      <c r="R21" s="42" t="str">
        <f t="shared" si="15"/>
        <v>Mala Demanda</v>
      </c>
    </row>
    <row r="22" spans="1:18" ht="46.5" customHeight="1" x14ac:dyDescent="0.25">
      <c r="A22" s="3">
        <v>716</v>
      </c>
      <c r="B22" s="3" t="str">
        <f t="shared" si="0"/>
        <v>891995856-3</v>
      </c>
      <c r="C22" s="39" t="str">
        <f t="shared" si="12"/>
        <v>FUNDACIÓN UNIVERSITARIA SAN MARTIN</v>
      </c>
      <c r="D22" s="4">
        <f t="shared" si="1"/>
        <v>7232452</v>
      </c>
      <c r="E22" s="4" t="str">
        <f t="shared" si="2"/>
        <v>Carrera 28 N° 19-24</v>
      </c>
      <c r="F22" s="3" t="str">
        <f t="shared" si="3"/>
        <v>Cundinamarca</v>
      </c>
      <c r="G22" s="39" t="str">
        <f t="shared" si="4"/>
        <v>BLOCK TAMAÑO CARTA</v>
      </c>
      <c r="H22" s="3">
        <f t="shared" si="5"/>
        <v>25</v>
      </c>
      <c r="I22" s="3">
        <f t="shared" si="6"/>
        <v>7</v>
      </c>
      <c r="J22" s="3">
        <f t="shared" si="7"/>
        <v>2400</v>
      </c>
      <c r="K22" s="6">
        <f t="shared" si="13"/>
        <v>60000</v>
      </c>
      <c r="L22" s="6">
        <f t="shared" si="8"/>
        <v>2700</v>
      </c>
      <c r="M22" s="46">
        <f t="shared" si="16"/>
        <v>57300</v>
      </c>
      <c r="N22" s="47">
        <f t="shared" si="9"/>
        <v>0</v>
      </c>
      <c r="O22" s="6">
        <f t="shared" si="10"/>
        <v>2005.5000000000002</v>
      </c>
      <c r="P22" s="42">
        <f t="shared" si="14"/>
        <v>55294.5</v>
      </c>
      <c r="Q22" s="42" t="str">
        <f t="shared" si="11"/>
        <v>CONTADO</v>
      </c>
      <c r="R22" s="42" t="str">
        <f t="shared" si="15"/>
        <v>Buena Demanda</v>
      </c>
    </row>
    <row r="23" spans="1:18" ht="34.5" customHeight="1" x14ac:dyDescent="0.25">
      <c r="A23" s="3">
        <v>717</v>
      </c>
      <c r="B23" s="3" t="str">
        <f t="shared" si="0"/>
        <v>800203863-5</v>
      </c>
      <c r="C23" s="39" t="str">
        <f t="shared" si="12"/>
        <v>INSTITUCIÓN UNIVERSITARIA ESCOLME</v>
      </c>
      <c r="D23" s="4">
        <f t="shared" si="1"/>
        <v>8213000</v>
      </c>
      <c r="E23" s="4" t="str">
        <f t="shared" si="2"/>
        <v>Calle 5 N° 3-85</v>
      </c>
      <c r="F23" s="3" t="str">
        <f t="shared" si="3"/>
        <v>Cundinamarca</v>
      </c>
      <c r="G23" s="39" t="str">
        <f t="shared" si="4"/>
        <v>CAJA LAPIZ MIRADO No. 2   X12 U</v>
      </c>
      <c r="H23" s="3">
        <f t="shared" si="5"/>
        <v>35</v>
      </c>
      <c r="I23" s="3">
        <f t="shared" si="6"/>
        <v>15</v>
      </c>
      <c r="J23" s="3">
        <f t="shared" si="7"/>
        <v>7680</v>
      </c>
      <c r="K23" s="6">
        <f t="shared" si="13"/>
        <v>268800</v>
      </c>
      <c r="L23" s="6">
        <f t="shared" si="8"/>
        <v>13440</v>
      </c>
      <c r="M23" s="46">
        <f t="shared" si="16"/>
        <v>255360</v>
      </c>
      <c r="N23" s="47">
        <f t="shared" si="9"/>
        <v>48518.400000000001</v>
      </c>
      <c r="O23" s="6">
        <f t="shared" si="10"/>
        <v>8937.6</v>
      </c>
      <c r="P23" s="42">
        <f t="shared" si="14"/>
        <v>294940.80000000005</v>
      </c>
      <c r="Q23" s="42" t="str">
        <f t="shared" si="11"/>
        <v>CRÉDITO</v>
      </c>
      <c r="R23" s="42" t="str">
        <f t="shared" si="15"/>
        <v>Mala Demanda</v>
      </c>
    </row>
    <row r="24" spans="1:18" ht="34.5" customHeight="1" x14ac:dyDescent="0.25">
      <c r="A24" s="3">
        <v>718</v>
      </c>
      <c r="B24" s="3" t="str">
        <f t="shared" si="0"/>
        <v>860421734-9</v>
      </c>
      <c r="C24" s="39" t="str">
        <f t="shared" si="12"/>
        <v>FUNDACIÓN UNIVERSITARIA INPAHU</v>
      </c>
      <c r="D24" s="4">
        <f t="shared" si="1"/>
        <v>2459170</v>
      </c>
      <c r="E24" s="4" t="str">
        <f t="shared" si="2"/>
        <v>Calle 30 N° 35-18</v>
      </c>
      <c r="F24" s="3" t="str">
        <f t="shared" si="3"/>
        <v>Atlántico</v>
      </c>
      <c r="G24" s="39" t="str">
        <f t="shared" si="4"/>
        <v>GRAPADORA PEQUEÑA</v>
      </c>
      <c r="H24" s="3">
        <f t="shared" si="5"/>
        <v>37</v>
      </c>
      <c r="I24" s="3">
        <f t="shared" si="6"/>
        <v>30</v>
      </c>
      <c r="J24" s="3">
        <f t="shared" si="7"/>
        <v>2456</v>
      </c>
      <c r="K24" s="6">
        <f t="shared" si="13"/>
        <v>90872</v>
      </c>
      <c r="L24" s="6">
        <f t="shared" si="8"/>
        <v>4543.6000000000004</v>
      </c>
      <c r="M24" s="46">
        <f t="shared" si="16"/>
        <v>86328.4</v>
      </c>
      <c r="N24" s="47">
        <f t="shared" si="9"/>
        <v>0</v>
      </c>
      <c r="O24" s="6">
        <f t="shared" si="10"/>
        <v>3021.4940000000001</v>
      </c>
      <c r="P24" s="42">
        <f t="shared" si="14"/>
        <v>83306.905999999988</v>
      </c>
      <c r="Q24" s="42" t="str">
        <f t="shared" si="11"/>
        <v>CONTADO</v>
      </c>
      <c r="R24" s="42" t="str">
        <f t="shared" si="15"/>
        <v>Mala Demanda</v>
      </c>
    </row>
    <row r="25" spans="1:18" ht="34.5" customHeight="1" x14ac:dyDescent="0.25">
      <c r="A25" s="3">
        <v>719</v>
      </c>
      <c r="B25" s="3" t="str">
        <f t="shared" si="0"/>
        <v>890310903-5</v>
      </c>
      <c r="C25" s="39" t="str">
        <f t="shared" si="12"/>
        <v>UNIVERSIDAD DE ANTIOQUIA</v>
      </c>
      <c r="D25" s="4">
        <f t="shared" si="1"/>
        <v>8213000</v>
      </c>
      <c r="E25" s="4" t="str">
        <f t="shared" si="2"/>
        <v>Calle 5 N° 3-85</v>
      </c>
      <c r="F25" s="3" t="str">
        <f t="shared" si="3"/>
        <v>Antioquia</v>
      </c>
      <c r="G25" s="39" t="str">
        <f t="shared" si="4"/>
        <v>BLOCK TAMAÑO CARTA</v>
      </c>
      <c r="H25" s="3">
        <f t="shared" si="5"/>
        <v>30</v>
      </c>
      <c r="I25" s="3">
        <f t="shared" si="6"/>
        <v>5</v>
      </c>
      <c r="J25" s="3">
        <f t="shared" si="7"/>
        <v>2400</v>
      </c>
      <c r="K25" s="6">
        <f t="shared" si="13"/>
        <v>72000</v>
      </c>
      <c r="L25" s="6">
        <f t="shared" si="8"/>
        <v>3240</v>
      </c>
      <c r="M25" s="46">
        <f t="shared" si="16"/>
        <v>68760</v>
      </c>
      <c r="N25" s="47">
        <f t="shared" si="9"/>
        <v>0</v>
      </c>
      <c r="O25" s="6">
        <f t="shared" si="10"/>
        <v>2406.6000000000004</v>
      </c>
      <c r="P25" s="42">
        <f t="shared" si="14"/>
        <v>66353.399999999994</v>
      </c>
      <c r="Q25" s="42" t="str">
        <f t="shared" si="11"/>
        <v>CRÉDITO</v>
      </c>
      <c r="R25" s="42" t="str">
        <f t="shared" si="15"/>
        <v>Buena Demanda</v>
      </c>
    </row>
    <row r="26" spans="1:18" ht="34.5" customHeight="1" x14ac:dyDescent="0.25">
      <c r="A26" s="3">
        <v>720</v>
      </c>
      <c r="B26" s="3" t="str">
        <f t="shared" si="0"/>
        <v>890212433-5</v>
      </c>
      <c r="C26" s="39" t="str">
        <f t="shared" si="12"/>
        <v>UNIVERSIDAD TÉCNICO AGRÍCOLA ITA</v>
      </c>
      <c r="D26" s="4">
        <f t="shared" si="1"/>
        <v>3172267</v>
      </c>
      <c r="E26" s="4" t="str">
        <f t="shared" si="2"/>
        <v>Carrera 53 N° 59-70</v>
      </c>
      <c r="F26" s="3" t="str">
        <f t="shared" si="3"/>
        <v>Nariño</v>
      </c>
      <c r="G26" s="39" t="str">
        <f t="shared" si="4"/>
        <v>CAJA DE LAPICEROS KILOMETRICO X 12 U</v>
      </c>
      <c r="H26" s="3">
        <f t="shared" si="5"/>
        <v>45</v>
      </c>
      <c r="I26" s="3">
        <f t="shared" si="6"/>
        <v>3</v>
      </c>
      <c r="J26" s="3">
        <f t="shared" si="7"/>
        <v>3500</v>
      </c>
      <c r="K26" s="6">
        <f t="shared" si="13"/>
        <v>157500</v>
      </c>
      <c r="L26" s="6">
        <f t="shared" si="8"/>
        <v>7875</v>
      </c>
      <c r="M26" s="46">
        <f t="shared" si="16"/>
        <v>149625</v>
      </c>
      <c r="N26" s="47">
        <f t="shared" si="9"/>
        <v>28428.75</v>
      </c>
      <c r="O26" s="6">
        <f t="shared" si="10"/>
        <v>5236.8750000000009</v>
      </c>
      <c r="P26" s="42">
        <f t="shared" si="14"/>
        <v>172816.875</v>
      </c>
      <c r="Q26" s="42" t="str">
        <f t="shared" si="11"/>
        <v>CONTADO</v>
      </c>
      <c r="R26" s="42" t="str">
        <f t="shared" si="15"/>
        <v>Buena Demanda</v>
      </c>
    </row>
    <row r="27" spans="1:18" ht="34.5" customHeight="1" x14ac:dyDescent="0.25">
      <c r="A27" s="3">
        <v>721</v>
      </c>
      <c r="B27" s="3" t="str">
        <f t="shared" si="0"/>
        <v>823004609-9</v>
      </c>
      <c r="C27" s="39" t="str">
        <f t="shared" si="12"/>
        <v>INSTITUTO DEPARTAMENTAL ARTES</v>
      </c>
      <c r="D27" s="4">
        <f t="shared" si="1"/>
        <v>6061101</v>
      </c>
      <c r="E27" s="4" t="str">
        <f t="shared" si="2"/>
        <v>Calle 70 N° 10 A-39</v>
      </c>
      <c r="F27" s="3" t="str">
        <f t="shared" si="3"/>
        <v>Risaralda</v>
      </c>
      <c r="G27" s="39" t="str">
        <f t="shared" si="4"/>
        <v>CARPETAS PARA ARCHIVO TAMAÑO OFICIO</v>
      </c>
      <c r="H27" s="3">
        <f t="shared" si="5"/>
        <v>32</v>
      </c>
      <c r="I27" s="3">
        <f t="shared" si="6"/>
        <v>30</v>
      </c>
      <c r="J27" s="3">
        <f t="shared" si="7"/>
        <v>7100</v>
      </c>
      <c r="K27" s="6">
        <f t="shared" si="13"/>
        <v>227200</v>
      </c>
      <c r="L27" s="6">
        <f t="shared" si="8"/>
        <v>11360</v>
      </c>
      <c r="M27" s="46">
        <f t="shared" si="16"/>
        <v>215840</v>
      </c>
      <c r="N27" s="47">
        <f t="shared" si="9"/>
        <v>41009.599999999999</v>
      </c>
      <c r="O27" s="6">
        <f t="shared" si="10"/>
        <v>7554.4000000000005</v>
      </c>
      <c r="P27" s="42">
        <f t="shared" si="14"/>
        <v>249295.2</v>
      </c>
      <c r="Q27" s="42" t="str">
        <f t="shared" si="11"/>
        <v>CRÉDITO</v>
      </c>
      <c r="R27" s="42" t="str">
        <f t="shared" si="15"/>
        <v>Mala Demanda</v>
      </c>
    </row>
    <row r="28" spans="1:18" ht="34.5" customHeight="1" x14ac:dyDescent="0.25">
      <c r="A28" s="3">
        <v>722</v>
      </c>
      <c r="B28" s="3" t="str">
        <f t="shared" si="0"/>
        <v>890982134-3</v>
      </c>
      <c r="C28" s="39" t="str">
        <f t="shared" si="12"/>
        <v>UNIVERSIDAD ANTIONIO JOSÉ</v>
      </c>
      <c r="D28" s="4">
        <f t="shared" si="1"/>
        <v>2812282</v>
      </c>
      <c r="E28" s="4" t="str">
        <f t="shared" si="2"/>
        <v>Calle 27 N° 21-49</v>
      </c>
      <c r="F28" s="3" t="str">
        <f t="shared" si="3"/>
        <v>Sucre</v>
      </c>
      <c r="G28" s="39" t="str">
        <f t="shared" si="4"/>
        <v>CARPETAS PARA ARCHIVO TAMAÑO CARTA</v>
      </c>
      <c r="H28" s="3">
        <f t="shared" si="5"/>
        <v>24</v>
      </c>
      <c r="I28" s="3">
        <f t="shared" si="6"/>
        <v>30</v>
      </c>
      <c r="J28" s="3">
        <f t="shared" si="7"/>
        <v>4500</v>
      </c>
      <c r="K28" s="6">
        <f t="shared" si="13"/>
        <v>108000</v>
      </c>
      <c r="L28" s="6">
        <f t="shared" si="8"/>
        <v>4860</v>
      </c>
      <c r="M28" s="46">
        <f t="shared" si="16"/>
        <v>103140</v>
      </c>
      <c r="N28" s="47">
        <f t="shared" si="9"/>
        <v>19596.599999999999</v>
      </c>
      <c r="O28" s="6">
        <f t="shared" si="10"/>
        <v>3609.9000000000005</v>
      </c>
      <c r="P28" s="42">
        <f t="shared" si="14"/>
        <v>119126.70000000001</v>
      </c>
      <c r="Q28" s="42" t="str">
        <f t="shared" si="11"/>
        <v>CONTADO</v>
      </c>
      <c r="R28" s="42" t="str">
        <f t="shared" si="15"/>
        <v>Mala Demanda</v>
      </c>
    </row>
    <row r="29" spans="1:18" ht="43.5" customHeight="1" x14ac:dyDescent="0.25">
      <c r="A29" s="3">
        <v>723</v>
      </c>
      <c r="B29" s="3" t="str">
        <f t="shared" si="0"/>
        <v>892480054-9</v>
      </c>
      <c r="C29" s="39" t="str">
        <f t="shared" si="12"/>
        <v>INSTITUCIÓN DE EDUCACIÓN EMPRESARIAL</v>
      </c>
      <c r="D29" s="4">
        <f t="shared" si="1"/>
        <v>2804017</v>
      </c>
      <c r="E29" s="4" t="str">
        <f t="shared" si="2"/>
        <v>Calle 21 N° 6-01</v>
      </c>
      <c r="F29" s="3" t="str">
        <f t="shared" si="3"/>
        <v>Sucre</v>
      </c>
      <c r="G29" s="39" t="str">
        <f t="shared" si="4"/>
        <v>CARPETAS PARA ARCHIVO TAMAÑO CARTA</v>
      </c>
      <c r="H29" s="3">
        <f t="shared" si="5"/>
        <v>21</v>
      </c>
      <c r="I29" s="3">
        <f t="shared" si="6"/>
        <v>30</v>
      </c>
      <c r="J29" s="3">
        <f t="shared" si="7"/>
        <v>4500</v>
      </c>
      <c r="K29" s="6">
        <f t="shared" si="13"/>
        <v>94500</v>
      </c>
      <c r="L29" s="6">
        <f t="shared" si="8"/>
        <v>4252.5</v>
      </c>
      <c r="M29" s="46">
        <f t="shared" si="16"/>
        <v>90247.5</v>
      </c>
      <c r="N29" s="47">
        <f t="shared" si="9"/>
        <v>17147.025000000001</v>
      </c>
      <c r="O29" s="6">
        <f t="shared" si="10"/>
        <v>3158.6625000000004</v>
      </c>
      <c r="P29" s="42">
        <f t="shared" si="14"/>
        <v>104235.86249999999</v>
      </c>
      <c r="Q29" s="42" t="str">
        <f t="shared" si="11"/>
        <v>CRÉDITO</v>
      </c>
      <c r="R29" s="42" t="str">
        <f t="shared" si="15"/>
        <v>Mala Demanda</v>
      </c>
    </row>
    <row r="30" spans="1:18" ht="34.5" customHeight="1" x14ac:dyDescent="0.25">
      <c r="A30" s="3">
        <v>724</v>
      </c>
      <c r="B30" s="3" t="str">
        <f t="shared" si="0"/>
        <v>891421189-6</v>
      </c>
      <c r="C30" s="39" t="str">
        <f t="shared" si="12"/>
        <v xml:space="preserve">UNIVERSIDAD CENTRAL </v>
      </c>
      <c r="D30" s="4">
        <f t="shared" si="1"/>
        <v>3681013</v>
      </c>
      <c r="E30" s="4" t="str">
        <f t="shared" si="2"/>
        <v>Carrera 50 N° 79-155</v>
      </c>
      <c r="F30" s="3" t="str">
        <f t="shared" si="3"/>
        <v>Valle del Cauca</v>
      </c>
      <c r="G30" s="39" t="str">
        <f t="shared" si="4"/>
        <v xml:space="preserve">MORRAL </v>
      </c>
      <c r="H30" s="3">
        <f t="shared" si="5"/>
        <v>26</v>
      </c>
      <c r="I30" s="3">
        <f t="shared" si="6"/>
        <v>30</v>
      </c>
      <c r="J30" s="3">
        <f t="shared" si="7"/>
        <v>24000</v>
      </c>
      <c r="K30" s="6">
        <f t="shared" si="13"/>
        <v>624000</v>
      </c>
      <c r="L30" s="6">
        <f t="shared" si="8"/>
        <v>28080</v>
      </c>
      <c r="M30" s="46">
        <f t="shared" si="16"/>
        <v>595920</v>
      </c>
      <c r="N30" s="47">
        <f t="shared" si="9"/>
        <v>113224.8</v>
      </c>
      <c r="O30" s="6">
        <f t="shared" si="10"/>
        <v>0</v>
      </c>
      <c r="P30" s="42">
        <f t="shared" si="14"/>
        <v>709144.8</v>
      </c>
      <c r="Q30" s="42" t="str">
        <f t="shared" si="11"/>
        <v>CONTADO</v>
      </c>
      <c r="R30" s="42" t="str">
        <f t="shared" si="15"/>
        <v>Mala Demanda</v>
      </c>
    </row>
    <row r="31" spans="1:18" ht="34.5" customHeight="1" x14ac:dyDescent="0.25">
      <c r="A31" s="3">
        <v>725</v>
      </c>
      <c r="B31" s="3" t="str">
        <f t="shared" si="0"/>
        <v>8902704562-5</v>
      </c>
      <c r="C31" s="39" t="str">
        <f t="shared" si="12"/>
        <v>UNIVERSIDAD EAFIT</v>
      </c>
      <c r="D31" s="4">
        <f t="shared" si="1"/>
        <v>3489292</v>
      </c>
      <c r="E31" s="4" t="str">
        <f t="shared" si="2"/>
        <v>Calle 67 N° 5-27</v>
      </c>
      <c r="F31" s="3" t="str">
        <f t="shared" si="3"/>
        <v>Antioquia</v>
      </c>
      <c r="G31" s="39" t="str">
        <f t="shared" si="4"/>
        <v xml:space="preserve">MORRAL </v>
      </c>
      <c r="H31" s="3">
        <f t="shared" si="5"/>
        <v>39</v>
      </c>
      <c r="I31" s="3">
        <f t="shared" si="6"/>
        <v>30</v>
      </c>
      <c r="J31" s="3">
        <f t="shared" si="7"/>
        <v>24000</v>
      </c>
      <c r="K31" s="6">
        <f t="shared" si="13"/>
        <v>936000</v>
      </c>
      <c r="L31" s="6">
        <f t="shared" si="8"/>
        <v>46800</v>
      </c>
      <c r="M31" s="46">
        <f t="shared" si="16"/>
        <v>889200</v>
      </c>
      <c r="N31" s="47">
        <f t="shared" si="9"/>
        <v>168948</v>
      </c>
      <c r="O31" s="6">
        <f t="shared" si="10"/>
        <v>0</v>
      </c>
      <c r="P31" s="42">
        <f t="shared" si="14"/>
        <v>1058148</v>
      </c>
      <c r="Q31" s="42" t="str">
        <f t="shared" si="11"/>
        <v>CRÉDITO</v>
      </c>
      <c r="R31" s="42" t="str">
        <f t="shared" si="15"/>
        <v>Mala Demanda</v>
      </c>
    </row>
    <row r="32" spans="1:18" ht="34.5" customHeight="1" x14ac:dyDescent="0.25">
      <c r="A32" s="3">
        <v>726</v>
      </c>
      <c r="B32" s="3" t="str">
        <f t="shared" si="0"/>
        <v>891204706-2</v>
      </c>
      <c r="C32" s="39" t="str">
        <f t="shared" si="12"/>
        <v>UNIVERSIDAD DE LOS ANDES</v>
      </c>
      <c r="D32" s="4">
        <f t="shared" si="1"/>
        <v>2916520</v>
      </c>
      <c r="E32" s="4" t="str">
        <f t="shared" si="2"/>
        <v>Calle 81 B N° 79-155</v>
      </c>
      <c r="F32" s="3" t="str">
        <f t="shared" si="3"/>
        <v>Cundinamarca</v>
      </c>
      <c r="G32" s="39" t="str">
        <f t="shared" si="4"/>
        <v xml:space="preserve">CRAYOLAS </v>
      </c>
      <c r="H32" s="3">
        <f t="shared" si="5"/>
        <v>41</v>
      </c>
      <c r="I32" s="3">
        <f t="shared" si="6"/>
        <v>4</v>
      </c>
      <c r="J32" s="3">
        <f t="shared" si="7"/>
        <v>1000</v>
      </c>
      <c r="K32" s="6">
        <f t="shared" si="13"/>
        <v>41000</v>
      </c>
      <c r="L32" s="6">
        <f t="shared" si="8"/>
        <v>2050</v>
      </c>
      <c r="M32" s="46">
        <f t="shared" si="16"/>
        <v>38950</v>
      </c>
      <c r="N32" s="47">
        <f t="shared" si="9"/>
        <v>0</v>
      </c>
      <c r="O32" s="6">
        <f t="shared" si="10"/>
        <v>1363.2500000000002</v>
      </c>
      <c r="P32" s="42">
        <f t="shared" si="14"/>
        <v>37586.75</v>
      </c>
      <c r="Q32" s="42" t="str">
        <f t="shared" si="11"/>
        <v>CONTADO</v>
      </c>
      <c r="R32" s="42" t="str">
        <f t="shared" si="15"/>
        <v>Buena Demanda</v>
      </c>
    </row>
    <row r="33" spans="1:18" ht="46.5" customHeight="1" x14ac:dyDescent="0.25">
      <c r="A33" s="3">
        <v>727</v>
      </c>
      <c r="B33" s="3" t="str">
        <f t="shared" si="0"/>
        <v>893500248-9</v>
      </c>
      <c r="C33" s="39" t="str">
        <f t="shared" si="12"/>
        <v>UNIVERSIDAD AUTONOMA DE OCCIDENTE</v>
      </c>
      <c r="D33" s="4">
        <f t="shared" si="1"/>
        <v>5132100</v>
      </c>
      <c r="E33" s="4" t="str">
        <f t="shared" si="2"/>
        <v>Calle 51 N° 72 A-70</v>
      </c>
      <c r="F33" s="3" t="str">
        <f t="shared" si="3"/>
        <v>Cundinamarca</v>
      </c>
      <c r="G33" s="39" t="str">
        <f t="shared" si="4"/>
        <v>CAJA DE COLORES NORMA</v>
      </c>
      <c r="H33" s="3">
        <f t="shared" si="5"/>
        <v>43</v>
      </c>
      <c r="I33" s="3">
        <f t="shared" si="6"/>
        <v>7</v>
      </c>
      <c r="J33" s="3">
        <f t="shared" si="7"/>
        <v>9500</v>
      </c>
      <c r="K33" s="6">
        <f t="shared" si="13"/>
        <v>408500</v>
      </c>
      <c r="L33" s="6">
        <f t="shared" si="8"/>
        <v>20425</v>
      </c>
      <c r="M33" s="46">
        <f t="shared" si="16"/>
        <v>388075</v>
      </c>
      <c r="N33" s="47">
        <f t="shared" si="9"/>
        <v>73734.25</v>
      </c>
      <c r="O33" s="6">
        <f t="shared" si="10"/>
        <v>13582.625000000002</v>
      </c>
      <c r="P33" s="42">
        <f t="shared" si="14"/>
        <v>448226.625</v>
      </c>
      <c r="Q33" s="42" t="str">
        <f t="shared" si="11"/>
        <v>CRÉDITO</v>
      </c>
      <c r="R33" s="42" t="str">
        <f t="shared" si="15"/>
        <v>Buena Demanda</v>
      </c>
    </row>
    <row r="34" spans="1:18" ht="34.5" customHeight="1" x14ac:dyDescent="0.25">
      <c r="A34" s="3">
        <v>728</v>
      </c>
      <c r="B34" s="3" t="str">
        <f t="shared" si="0"/>
        <v>860503837-7</v>
      </c>
      <c r="C34" s="39" t="str">
        <f t="shared" si="12"/>
        <v>UNIPANAMERICANA</v>
      </c>
      <c r="D34" s="4">
        <f t="shared" si="1"/>
        <v>7434343</v>
      </c>
      <c r="E34" s="4" t="str">
        <f t="shared" si="2"/>
        <v>Calle 76 N° 12-58</v>
      </c>
      <c r="F34" s="3" t="str">
        <f t="shared" si="3"/>
        <v>Risaralda</v>
      </c>
      <c r="G34" s="39" t="str">
        <f t="shared" si="4"/>
        <v xml:space="preserve">CRAYOLAS </v>
      </c>
      <c r="H34" s="3">
        <f t="shared" si="5"/>
        <v>22</v>
      </c>
      <c r="I34" s="3">
        <f t="shared" si="6"/>
        <v>5</v>
      </c>
      <c r="J34" s="3">
        <f t="shared" si="7"/>
        <v>1000</v>
      </c>
      <c r="K34" s="6">
        <f t="shared" si="13"/>
        <v>22000</v>
      </c>
      <c r="L34" s="6">
        <f t="shared" si="8"/>
        <v>990</v>
      </c>
      <c r="M34" s="46">
        <f t="shared" si="16"/>
        <v>21010</v>
      </c>
      <c r="N34" s="47">
        <f t="shared" si="9"/>
        <v>0</v>
      </c>
      <c r="O34" s="6">
        <f t="shared" si="10"/>
        <v>735.35</v>
      </c>
      <c r="P34" s="42">
        <f t="shared" si="14"/>
        <v>20274.650000000001</v>
      </c>
      <c r="Q34" s="42" t="str">
        <f t="shared" si="11"/>
        <v>CRÉDITO</v>
      </c>
      <c r="R34" s="42" t="str">
        <f t="shared" si="15"/>
        <v>Buena Demanda</v>
      </c>
    </row>
    <row r="35" spans="1:18" ht="34.5" customHeight="1" x14ac:dyDescent="0.25">
      <c r="A35" s="3">
        <v>729</v>
      </c>
      <c r="B35" s="3" t="str">
        <f t="shared" si="0"/>
        <v>811005425-1</v>
      </c>
      <c r="C35" s="39" t="str">
        <f t="shared" si="12"/>
        <v>UNIVERSIDAD DE PAMPLONA</v>
      </c>
      <c r="D35" s="4">
        <f t="shared" si="1"/>
        <v>2320606</v>
      </c>
      <c r="E35" s="4" t="str">
        <f t="shared" si="2"/>
        <v>Carrera 19 N° 49-20</v>
      </c>
      <c r="F35" s="3" t="str">
        <f t="shared" si="3"/>
        <v>Sucre</v>
      </c>
      <c r="G35" s="39" t="str">
        <f t="shared" si="4"/>
        <v>GRAPADORA MEDIANA</v>
      </c>
      <c r="H35" s="3">
        <f t="shared" si="5"/>
        <v>20</v>
      </c>
      <c r="I35" s="3">
        <f t="shared" si="6"/>
        <v>30</v>
      </c>
      <c r="J35" s="3">
        <f t="shared" si="7"/>
        <v>4708</v>
      </c>
      <c r="K35" s="6">
        <f t="shared" si="13"/>
        <v>94160</v>
      </c>
      <c r="L35" s="6">
        <f t="shared" si="8"/>
        <v>2824.7999999999997</v>
      </c>
      <c r="M35" s="46">
        <f t="shared" si="16"/>
        <v>91335.2</v>
      </c>
      <c r="N35" s="47">
        <f t="shared" si="9"/>
        <v>17353.687999999998</v>
      </c>
      <c r="O35" s="6">
        <f t="shared" si="10"/>
        <v>3196.7320000000004</v>
      </c>
      <c r="P35" s="42">
        <f t="shared" si="14"/>
        <v>105492.15599999999</v>
      </c>
      <c r="Q35" s="42" t="str">
        <f t="shared" si="11"/>
        <v>CONTADO</v>
      </c>
      <c r="R35" s="42" t="str">
        <f t="shared" si="15"/>
        <v>Mala Demanda</v>
      </c>
    </row>
    <row r="36" spans="1:18" ht="34.5" customHeight="1" x14ac:dyDescent="0.25">
      <c r="A36" s="3">
        <v>730</v>
      </c>
      <c r="B36" s="3" t="str">
        <f t="shared" si="0"/>
        <v>860510627-6</v>
      </c>
      <c r="C36" s="39" t="str">
        <f t="shared" si="12"/>
        <v>UNIVERSIDAD DEL ATLÁNTICO</v>
      </c>
      <c r="D36" s="4">
        <f t="shared" si="1"/>
        <v>2880693</v>
      </c>
      <c r="E36" s="4" t="str">
        <f t="shared" si="2"/>
        <v>Calle 9 N° 34-01</v>
      </c>
      <c r="F36" s="3" t="str">
        <f>IF(ISBLANK(A36),"",IF(ISERROR(VLOOKUP(A36,bdpapeleria,6,FALSE)),"El dato no existe",VLOOKUP(A36,bdpapeleria,6,FALSE)))</f>
        <v xml:space="preserve">Atlántico </v>
      </c>
      <c r="G36" s="39" t="str">
        <f t="shared" si="4"/>
        <v xml:space="preserve">MORRAL </v>
      </c>
      <c r="H36" s="3">
        <f t="shared" si="5"/>
        <v>10</v>
      </c>
      <c r="I36" s="3">
        <f t="shared" si="6"/>
        <v>30</v>
      </c>
      <c r="J36" s="3">
        <f t="shared" si="7"/>
        <v>24000</v>
      </c>
      <c r="K36" s="6">
        <f t="shared" si="13"/>
        <v>240000</v>
      </c>
      <c r="L36" s="6">
        <f t="shared" si="8"/>
        <v>7200</v>
      </c>
      <c r="M36" s="46">
        <f t="shared" si="16"/>
        <v>232800</v>
      </c>
      <c r="N36" s="47">
        <f t="shared" si="9"/>
        <v>44232</v>
      </c>
      <c r="O36" s="6">
        <f t="shared" si="10"/>
        <v>8148.0000000000009</v>
      </c>
      <c r="P36" s="42">
        <f t="shared" si="14"/>
        <v>268884</v>
      </c>
      <c r="Q36" s="42" t="str">
        <f t="shared" si="11"/>
        <v>CONTADO</v>
      </c>
      <c r="R36" s="42" t="str">
        <f t="shared" si="15"/>
        <v>Mala Demanda</v>
      </c>
    </row>
    <row r="37" spans="1:18" x14ac:dyDescent="0.25">
      <c r="A37" s="15"/>
      <c r="I37" s="3" t="str">
        <f t="shared" si="6"/>
        <v/>
      </c>
      <c r="J37" s="14"/>
      <c r="K37" s="14"/>
      <c r="L37" s="6"/>
      <c r="M37" s="6"/>
      <c r="N37" s="47"/>
      <c r="O37" s="6"/>
      <c r="P37" s="7"/>
      <c r="Q37" s="7" t="str">
        <f t="shared" si="11"/>
        <v/>
      </c>
      <c r="R37" s="42"/>
    </row>
    <row r="38" spans="1:18" x14ac:dyDescent="0.25">
      <c r="I38" s="41" t="str">
        <f t="shared" si="6"/>
        <v/>
      </c>
      <c r="L38" s="52"/>
      <c r="M38" s="52"/>
      <c r="N38" s="53"/>
      <c r="O38" s="52"/>
      <c r="P38" s="43"/>
      <c r="Q38" s="43" t="str">
        <f t="shared" si="11"/>
        <v/>
      </c>
      <c r="R38" s="54"/>
    </row>
    <row r="39" spans="1:18" x14ac:dyDescent="0.25">
      <c r="I39" s="41" t="str">
        <f t="shared" si="6"/>
        <v/>
      </c>
      <c r="L39" s="52"/>
      <c r="M39" s="52"/>
      <c r="N39" s="53"/>
      <c r="O39" s="52"/>
      <c r="P39" s="43"/>
      <c r="Q39" s="43" t="str">
        <f t="shared" si="11"/>
        <v/>
      </c>
      <c r="R39" s="54"/>
    </row>
    <row r="40" spans="1:18" x14ac:dyDescent="0.25">
      <c r="I40" s="41" t="str">
        <f t="shared" si="6"/>
        <v/>
      </c>
      <c r="L40" s="52"/>
      <c r="M40" s="52"/>
      <c r="N40" s="53"/>
      <c r="O40" s="52"/>
      <c r="P40" s="43"/>
      <c r="Q40" s="43" t="str">
        <f t="shared" si="11"/>
        <v/>
      </c>
      <c r="R40" s="54"/>
    </row>
    <row r="41" spans="1:18" x14ac:dyDescent="0.25">
      <c r="I41" s="41" t="str">
        <f t="shared" si="6"/>
        <v/>
      </c>
      <c r="L41" s="52"/>
      <c r="M41" s="52"/>
      <c r="N41" s="53"/>
      <c r="O41" s="52"/>
      <c r="P41" s="43"/>
      <c r="Q41" s="43" t="str">
        <f t="shared" si="11"/>
        <v/>
      </c>
      <c r="R41" s="54"/>
    </row>
    <row r="42" spans="1:18" x14ac:dyDescent="0.25">
      <c r="I42" s="41" t="str">
        <f t="shared" si="6"/>
        <v/>
      </c>
      <c r="L42" s="52"/>
      <c r="M42" s="52"/>
      <c r="N42" s="53"/>
      <c r="O42" s="52"/>
      <c r="P42" s="43"/>
      <c r="Q42" s="43" t="str">
        <f t="shared" si="11"/>
        <v/>
      </c>
      <c r="R42" s="54"/>
    </row>
    <row r="43" spans="1:18" x14ac:dyDescent="0.25">
      <c r="I43" s="41" t="str">
        <f t="shared" si="6"/>
        <v/>
      </c>
      <c r="L43" s="52"/>
      <c r="M43" s="52"/>
      <c r="N43" s="53"/>
      <c r="O43" s="52"/>
      <c r="P43" s="43"/>
      <c r="Q43" s="43" t="str">
        <f t="shared" si="11"/>
        <v/>
      </c>
      <c r="R43" s="54"/>
    </row>
    <row r="44" spans="1:18" x14ac:dyDescent="0.25">
      <c r="C44" s="49"/>
      <c r="D44" s="20"/>
      <c r="E44" s="20"/>
      <c r="I44" s="41" t="str">
        <f t="shared" si="6"/>
        <v/>
      </c>
      <c r="L44" s="52"/>
      <c r="M44" s="52"/>
      <c r="N44" s="53"/>
      <c r="O44" s="52"/>
      <c r="P44" s="43"/>
      <c r="Q44" s="43" t="str">
        <f t="shared" si="11"/>
        <v/>
      </c>
      <c r="R44" s="54"/>
    </row>
    <row r="47" spans="1:18" x14ac:dyDescent="0.25">
      <c r="B47" s="3" t="str">
        <f>IF(ISBLANK(A37),"",IF(ISERROR(VLOOKUP(A37,bdpapeleria,2,FALSE)),"El dato no existe",VLOOKUP(A37,bdpapeleria,2,FALSE)))</f>
        <v/>
      </c>
      <c r="C47" s="85" t="s">
        <v>72</v>
      </c>
      <c r="D47" s="85"/>
      <c r="E47" s="85"/>
      <c r="F47" s="85"/>
      <c r="G47" s="85"/>
      <c r="H47" s="85"/>
    </row>
    <row r="48" spans="1:18" x14ac:dyDescent="0.25">
      <c r="B48" s="36" t="s">
        <v>73</v>
      </c>
      <c r="C48" s="40">
        <f>SUM(H7:H36)</f>
        <v>891</v>
      </c>
      <c r="D48" s="48"/>
      <c r="E48" s="45" t="s">
        <v>8</v>
      </c>
      <c r="F48" s="45">
        <v>0.03</v>
      </c>
      <c r="G48" s="44">
        <v>4.4999999999999998E-2</v>
      </c>
      <c r="H48" s="45">
        <v>0.05</v>
      </c>
    </row>
    <row r="49" spans="2:8" x14ac:dyDescent="0.25">
      <c r="B49" s="36" t="s">
        <v>74</v>
      </c>
      <c r="C49" s="55">
        <f>SUM(M7:M36)</f>
        <v>7957042.7000000002</v>
      </c>
      <c r="D49" s="20"/>
      <c r="E49" s="50" t="s">
        <v>10</v>
      </c>
      <c r="F49" s="45">
        <v>0.19</v>
      </c>
      <c r="G49" s="51"/>
      <c r="H49" s="51"/>
    </row>
    <row r="50" spans="2:8" x14ac:dyDescent="0.25">
      <c r="B50" s="36" t="s">
        <v>12</v>
      </c>
      <c r="C50" s="55">
        <f>SUM(P7:P36)</f>
        <v>9253155.7395000011</v>
      </c>
      <c r="D50" s="20"/>
      <c r="E50" s="50" t="s">
        <v>163</v>
      </c>
      <c r="F50" s="44">
        <v>3.5000000000000003E-2</v>
      </c>
      <c r="G50" s="51"/>
      <c r="H50" s="51"/>
    </row>
    <row r="51" spans="2:8" x14ac:dyDescent="0.25">
      <c r="B51" s="36" t="s">
        <v>75</v>
      </c>
      <c r="C51" s="55">
        <f>AVERAGE(P7:P36)</f>
        <v>308438.52465000004</v>
      </c>
      <c r="D51" s="20"/>
      <c r="E51" s="20"/>
    </row>
    <row r="52" spans="2:8" x14ac:dyDescent="0.25">
      <c r="B52" s="36" t="s">
        <v>76</v>
      </c>
      <c r="C52" s="55">
        <f>MAX(P7:P36)</f>
        <v>1380510.075</v>
      </c>
      <c r="D52" s="20"/>
      <c r="E52" s="20"/>
    </row>
    <row r="53" spans="2:8" x14ac:dyDescent="0.25">
      <c r="B53" s="36" t="s">
        <v>77</v>
      </c>
      <c r="C53" s="55">
        <f>MIN(P7:P36)</f>
        <v>20274.650000000001</v>
      </c>
      <c r="D53" s="20"/>
      <c r="E53" s="20"/>
    </row>
  </sheetData>
  <mergeCells count="3">
    <mergeCell ref="A2:P2"/>
    <mergeCell ref="A4:P4"/>
    <mergeCell ref="C47:H47"/>
  </mergeCells>
  <pageMargins left="0.7" right="0.7" top="0.75" bottom="0.75" header="0.3" footer="0.3"/>
  <pageSetup orientation="portrait" horizontalDpi="4294967294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5"/>
  <sheetViews>
    <sheetView workbookViewId="0">
      <selection activeCell="C35" sqref="C35"/>
    </sheetView>
  </sheetViews>
  <sheetFormatPr baseColWidth="10" defaultRowHeight="15" x14ac:dyDescent="0.25"/>
  <cols>
    <col min="1" max="1" width="46.42578125" bestFit="1" customWidth="1"/>
    <col min="2" max="2" width="23.28515625" bestFit="1" customWidth="1"/>
  </cols>
  <sheetData>
    <row r="3" spans="1:2" x14ac:dyDescent="0.25">
      <c r="A3" s="64" t="s">
        <v>176</v>
      </c>
      <c r="B3" t="s">
        <v>178</v>
      </c>
    </row>
    <row r="4" spans="1:2" x14ac:dyDescent="0.25">
      <c r="A4" s="65" t="s">
        <v>43</v>
      </c>
      <c r="B4" s="67">
        <v>1380510.075</v>
      </c>
    </row>
    <row r="5" spans="1:2" x14ac:dyDescent="0.25">
      <c r="A5" s="65" t="s">
        <v>52</v>
      </c>
      <c r="B5" s="67">
        <v>1380510.075</v>
      </c>
    </row>
    <row r="6" spans="1:2" x14ac:dyDescent="0.25">
      <c r="A6" s="65" t="s">
        <v>65</v>
      </c>
      <c r="B6" s="67">
        <v>1058148</v>
      </c>
    </row>
    <row r="7" spans="1:2" x14ac:dyDescent="0.25">
      <c r="A7" s="65" t="s">
        <v>64</v>
      </c>
      <c r="B7" s="67">
        <v>709144.8</v>
      </c>
    </row>
    <row r="8" spans="1:2" x14ac:dyDescent="0.25">
      <c r="A8" s="65" t="s">
        <v>44</v>
      </c>
      <c r="B8" s="67">
        <v>592802.30799999996</v>
      </c>
    </row>
    <row r="9" spans="1:2" x14ac:dyDescent="0.25">
      <c r="A9" s="65" t="s">
        <v>67</v>
      </c>
      <c r="B9" s="67">
        <v>448226.625</v>
      </c>
    </row>
    <row r="10" spans="1:2" x14ac:dyDescent="0.25">
      <c r="A10" s="65" t="s">
        <v>54</v>
      </c>
      <c r="B10" s="67">
        <v>352730.76299999998</v>
      </c>
    </row>
    <row r="11" spans="1:2" x14ac:dyDescent="0.25">
      <c r="A11" s="65" t="s">
        <v>47</v>
      </c>
      <c r="B11" s="67">
        <v>334990.42500000005</v>
      </c>
    </row>
    <row r="12" spans="1:2" x14ac:dyDescent="0.25">
      <c r="A12" s="65" t="s">
        <v>57</v>
      </c>
      <c r="B12" s="67">
        <v>294940.80000000005</v>
      </c>
    </row>
    <row r="13" spans="1:2" x14ac:dyDescent="0.25">
      <c r="A13" s="65" t="s">
        <v>51</v>
      </c>
      <c r="B13" s="67">
        <v>293404.65000000002</v>
      </c>
    </row>
    <row r="14" spans="1:2" x14ac:dyDescent="0.25">
      <c r="A14" s="65" t="s">
        <v>69</v>
      </c>
      <c r="B14" s="67">
        <v>268884</v>
      </c>
    </row>
    <row r="15" spans="1:2" x14ac:dyDescent="0.25">
      <c r="A15" s="65" t="s">
        <v>46</v>
      </c>
      <c r="B15" s="67">
        <v>264505.39500000002</v>
      </c>
    </row>
    <row r="16" spans="1:2" x14ac:dyDescent="0.25">
      <c r="A16" s="65" t="s">
        <v>61</v>
      </c>
      <c r="B16" s="67">
        <v>249295.2</v>
      </c>
    </row>
    <row r="17" spans="1:2" x14ac:dyDescent="0.25">
      <c r="A17" s="65" t="s">
        <v>53</v>
      </c>
      <c r="B17" s="67">
        <v>222193.125</v>
      </c>
    </row>
    <row r="18" spans="1:2" x14ac:dyDescent="0.25">
      <c r="A18" s="65" t="s">
        <v>60</v>
      </c>
      <c r="B18" s="67">
        <v>172816.875</v>
      </c>
    </row>
    <row r="19" spans="1:2" x14ac:dyDescent="0.25">
      <c r="A19" s="65" t="s">
        <v>55</v>
      </c>
      <c r="B19" s="67">
        <v>171503.17800000001</v>
      </c>
    </row>
    <row r="20" spans="1:2" x14ac:dyDescent="0.25">
      <c r="A20" s="65" t="s">
        <v>18</v>
      </c>
      <c r="B20" s="67">
        <v>155791.25099999999</v>
      </c>
    </row>
    <row r="21" spans="1:2" x14ac:dyDescent="0.25">
      <c r="A21" s="65" t="s">
        <v>48</v>
      </c>
      <c r="B21" s="67">
        <v>127719.90000000001</v>
      </c>
    </row>
    <row r="22" spans="1:2" x14ac:dyDescent="0.25">
      <c r="A22" s="65" t="s">
        <v>62</v>
      </c>
      <c r="B22" s="67">
        <v>119126.70000000001</v>
      </c>
    </row>
    <row r="23" spans="1:2" x14ac:dyDescent="0.25">
      <c r="A23" s="65" t="s">
        <v>70</v>
      </c>
      <c r="B23" s="67">
        <v>105492.15599999999</v>
      </c>
    </row>
    <row r="24" spans="1:2" x14ac:dyDescent="0.25">
      <c r="A24" s="65" t="s">
        <v>63</v>
      </c>
      <c r="B24" s="67">
        <v>104235.86249999999</v>
      </c>
    </row>
    <row r="25" spans="1:2" x14ac:dyDescent="0.25">
      <c r="A25" s="65" t="s">
        <v>58</v>
      </c>
      <c r="B25" s="67">
        <v>83306.905999999988</v>
      </c>
    </row>
    <row r="26" spans="1:2" x14ac:dyDescent="0.25">
      <c r="A26" s="65" t="s">
        <v>59</v>
      </c>
      <c r="B26" s="67">
        <v>66353.399999999994</v>
      </c>
    </row>
    <row r="27" spans="1:2" x14ac:dyDescent="0.25">
      <c r="A27" s="65" t="s">
        <v>17</v>
      </c>
      <c r="B27" s="67">
        <v>64141.62</v>
      </c>
    </row>
    <row r="28" spans="1:2" x14ac:dyDescent="0.25">
      <c r="A28" s="65" t="s">
        <v>50</v>
      </c>
      <c r="B28" s="67">
        <v>63183.375</v>
      </c>
    </row>
    <row r="29" spans="1:2" x14ac:dyDescent="0.25">
      <c r="A29" s="65" t="s">
        <v>56</v>
      </c>
      <c r="B29" s="67">
        <v>55294.5</v>
      </c>
    </row>
    <row r="30" spans="1:2" x14ac:dyDescent="0.25">
      <c r="A30" s="65" t="s">
        <v>66</v>
      </c>
      <c r="B30" s="67">
        <v>37586.75</v>
      </c>
    </row>
    <row r="31" spans="1:2" x14ac:dyDescent="0.25">
      <c r="A31" s="65" t="s">
        <v>45</v>
      </c>
      <c r="B31" s="67">
        <v>33003</v>
      </c>
    </row>
    <row r="32" spans="1:2" x14ac:dyDescent="0.25">
      <c r="A32" s="65" t="s">
        <v>49</v>
      </c>
      <c r="B32" s="67">
        <v>23039.375</v>
      </c>
    </row>
    <row r="33" spans="1:2" x14ac:dyDescent="0.25">
      <c r="A33" s="65" t="s">
        <v>68</v>
      </c>
      <c r="B33" s="67">
        <v>20274.650000000001</v>
      </c>
    </row>
    <row r="34" spans="1:2" x14ac:dyDescent="0.25">
      <c r="A34" s="65" t="s">
        <v>177</v>
      </c>
      <c r="B34" s="66"/>
    </row>
    <row r="35" spans="1:2" x14ac:dyDescent="0.25">
      <c r="A35" s="65" t="s">
        <v>165</v>
      </c>
      <c r="B35" s="67">
        <v>9253155.7395000029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9</vt:i4>
      </vt:variant>
    </vt:vector>
  </HeadingPairs>
  <TitlesOfParts>
    <vt:vector size="27" baseType="lpstr">
      <vt:lpstr>BD PAPELERIA</vt:lpstr>
      <vt:lpstr>PLANILLA VENTAS</vt:lpstr>
      <vt:lpstr>Factura</vt:lpstr>
      <vt:lpstr>Validación de Datos</vt:lpstr>
      <vt:lpstr>Filtro Sencillo</vt:lpstr>
      <vt:lpstr>Filtro Avanzado</vt:lpstr>
      <vt:lpstr>Subtotal</vt:lpstr>
      <vt:lpstr>Tabla</vt:lpstr>
      <vt:lpstr>Tabla Dinámica</vt:lpstr>
      <vt:lpstr>Segmentación</vt:lpstr>
      <vt:lpstr>Diseño</vt:lpstr>
      <vt:lpstr>Tablas 2</vt:lpstr>
      <vt:lpstr>Tablas dinámicas</vt:lpstr>
      <vt:lpstr>Dashboard</vt:lpstr>
      <vt:lpstr>Esquema Mental 1</vt:lpstr>
      <vt:lpstr>Esquema Mental 2 </vt:lpstr>
      <vt:lpstr>Esquema Mental 3 </vt:lpstr>
      <vt:lpstr>Esquema Mental 4</vt:lpstr>
      <vt:lpstr>bdpapeleria</vt:lpstr>
      <vt:lpstr>'Filtro Avanzado'!Criterios</vt:lpstr>
      <vt:lpstr>'Filtro Avanzado'!PAPELERIA_PAPEL_Y_LÁPIZ</vt:lpstr>
      <vt:lpstr>'Filtro Sencillo'!PAPELERIA_PAPEL_Y_LÁPIZ</vt:lpstr>
      <vt:lpstr>Subtotal!PAPELERIA_PAPEL_Y_LÁPIZ</vt:lpstr>
      <vt:lpstr>Tabla!PAPELERIA_PAPEL_Y_LÁPIZ</vt:lpstr>
      <vt:lpstr>'Tablas 2'!PAPELERIA_PAPEL_Y_LÁPIZ</vt:lpstr>
      <vt:lpstr>'Validación de Datos'!PAPELERIA_PAPEL_Y_LÁPIZ</vt:lpstr>
      <vt:lpstr>PAPELERIA_PAPEL_Y_LÁPIZ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MAZO</dc:creator>
  <cp:lastModifiedBy>MICHAEL MAZO</cp:lastModifiedBy>
  <dcterms:created xsi:type="dcterms:W3CDTF">2018-11-29T17:41:49Z</dcterms:created>
  <dcterms:modified xsi:type="dcterms:W3CDTF">2018-12-09T20:23:29Z</dcterms:modified>
</cp:coreProperties>
</file>